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08" windowWidth="17232" windowHeight="12228" tabRatio="599" activeTab="0"/>
  </bookViews>
  <sheets>
    <sheet name="Cuadro 1" sheetId="1" r:id="rId1"/>
    <sheet name="Cuadro 2" sheetId="2" r:id="rId2"/>
    <sheet name="Cuadro 3" sheetId="3" r:id="rId3"/>
    <sheet name="C4 TRABA AER ESPEC" sheetId="4" r:id="rId4"/>
    <sheet name="Cuadro 5" sheetId="5" r:id="rId5"/>
    <sheet name="C6 AVIACION AGRICOLA" sheetId="6" r:id="rId6"/>
    <sheet name="Cuadro 7" sheetId="7" r:id="rId7"/>
  </sheets>
  <definedNames>
    <definedName name="_xlnm.Print_Area" localSheetId="0">'Cuadro 1'!$A$1:$F$9</definedName>
    <definedName name="_xlnm.Print_Area" localSheetId="1">'Cuadro 2'!$A$1:$J$38</definedName>
    <definedName name="_xlnm.Print_Area" localSheetId="2">'Cuadro 3'!$A$1:$J$28</definedName>
    <definedName name="_xlnm.Print_Titles" localSheetId="1">'Cuadro 2'!$A:$A,'Cuadro 2'!$1:$7</definedName>
    <definedName name="_xlnm.Print_Titles" localSheetId="2">'Cuadro 3'!$A:$A,'Cuadro 3'!$1:$7</definedName>
  </definedNames>
  <calcPr fullCalcOnLoad="1"/>
</workbook>
</file>

<file path=xl/comments4.xml><?xml version="1.0" encoding="utf-8"?>
<comments xmlns="http://schemas.openxmlformats.org/spreadsheetml/2006/main">
  <authors>
    <author>Cenaida Jerez Ruiz</author>
  </authors>
  <commentList>
    <comment ref="AB37" authorId="0">
      <text>
        <r>
          <rPr>
            <b/>
            <sz val="9"/>
            <rFont val="Tahoma"/>
            <family val="2"/>
          </rPr>
          <t>incluendo impuesto renta 3/06/2011</t>
        </r>
        <r>
          <rPr>
            <sz val="9"/>
            <rFont val="Tahoma"/>
            <family val="2"/>
          </rPr>
          <t xml:space="preserve">
</t>
        </r>
      </text>
    </comment>
    <comment ref="AC37" authorId="0">
      <text>
        <r>
          <rPr>
            <b/>
            <sz val="9"/>
            <rFont val="Tahoma"/>
            <family val="2"/>
          </rPr>
          <t>incluendo impuesto renta 3/06/2011</t>
        </r>
        <r>
          <rPr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9"/>
            <rFont val="Tahoma"/>
            <family val="2"/>
          </rPr>
          <t>incluendo impuesto renta 3/06/2011</t>
        </r>
        <r>
          <rPr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b/>
            <sz val="9"/>
            <rFont val="Tahoma"/>
            <family val="2"/>
          </rPr>
          <t>incluendo impuesto renta 3/06/2011</t>
        </r>
        <r>
          <rPr>
            <sz val="9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9"/>
            <rFont val="Tahoma"/>
            <family val="2"/>
          </rPr>
          <t>incluendo impuesto renta 3/06/2011</t>
        </r>
        <r>
          <rPr>
            <sz val="9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9"/>
            <rFont val="Tahoma"/>
            <family val="2"/>
          </rPr>
          <t>incluendo impuesto renta 3/06/2011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41738069</author>
    <author>Cenaida Jerez Ruiz</author>
  </authors>
  <commentList>
    <comment ref="CZ6" authorId="0">
      <text>
        <r>
          <rPr>
            <b/>
            <sz val="8"/>
            <rFont val="Tahoma"/>
            <family val="2"/>
          </rPr>
          <t>41738069:</t>
        </r>
        <r>
          <rPr>
            <sz val="8"/>
            <rFont val="Tahoma"/>
            <family val="2"/>
          </rPr>
          <t xml:space="preserve">
NO TRAE NOTAS A LOS ESTADOS FINANCIEROS, POR LO TANTO NO SE PUDO DISCRIMINAR EL PATRIMONIO. Hoy 6 julio por el correo de amalia envian unos estados fros  incompleto el PyG.</t>
        </r>
      </text>
    </comment>
    <comment ref="BI6" authorId="0">
      <text>
        <r>
          <rPr>
            <b/>
            <sz val="8"/>
            <rFont val="Tahoma"/>
            <family val="2"/>
          </rPr>
          <t>41738069:</t>
        </r>
        <r>
          <rPr>
            <sz val="8"/>
            <rFont val="Tahoma"/>
            <family val="2"/>
          </rPr>
          <t xml:space="preserve">
ENVIARON 30 JUNIO 2010, OFICIO CON ANEXOS PY G. NO VENIA BALANCE GENERAL.</t>
        </r>
      </text>
    </comment>
    <comment ref="BE6" authorId="0">
      <text>
        <r>
          <rPr>
            <b/>
            <sz val="8"/>
            <rFont val="Tahoma"/>
            <family val="2"/>
          </rPr>
          <t>41738069:</t>
        </r>
        <r>
          <rPr>
            <sz val="8"/>
            <rFont val="Tahoma"/>
            <family val="2"/>
          </rPr>
          <t xml:space="preserve">
ENVIARON 30 JUNIO 2010, OFICIO CON ANEXOS PY G. NO VENIA BALANCE GENERAL.(lelgo 21 julio 2010 CORREO DIEGO.)</t>
        </r>
      </text>
    </comment>
    <comment ref="V6" authorId="0">
      <text>
        <r>
          <rPr>
            <sz val="8"/>
            <rFont val="Tahoma"/>
            <family val="2"/>
          </rPr>
          <t>HOY 21 JULIO 2010 POR ELCORREO DE DIEGO LLEGO BALANCE GRAL Y NO LLEGA P Y G.</t>
        </r>
      </text>
    </comment>
    <comment ref="CO6" authorId="0">
      <text>
        <r>
          <rPr>
            <sz val="8"/>
            <rFont val="Tahoma"/>
            <family val="2"/>
          </rPr>
          <t xml:space="preserve">HOY 21 JULIO 2010 POR CORREO DIEGO VUELVEN Y MANDAN PERO ILEGIBLES, NO LLEGA P Y G.
</t>
        </r>
      </text>
    </comment>
    <comment ref="H23" authorId="1">
      <text>
        <r>
          <rPr>
            <b/>
            <sz val="9"/>
            <rFont val="Tahoma"/>
            <family val="2"/>
          </rPr>
          <t>superavit por valorizacion:</t>
        </r>
        <r>
          <rPr>
            <sz val="9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9"/>
            <rFont val="Tahoma"/>
            <family val="2"/>
          </rPr>
          <t>superavit por valorizacion: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41738069</author>
  </authors>
  <commentList>
    <comment ref="V6" authorId="0">
      <text>
        <r>
          <rPr>
            <sz val="8"/>
            <rFont val="Tahoma"/>
            <family val="2"/>
          </rPr>
          <t>HOY 21 JULIO 2010 POR ELCORREO DE DIEGO LLEGO BALANCE GRAL Y NO LLEGA P Y G.</t>
        </r>
      </text>
    </comment>
    <comment ref="BE6" authorId="0">
      <text>
        <r>
          <rPr>
            <b/>
            <sz val="8"/>
            <rFont val="Tahoma"/>
            <family val="2"/>
          </rPr>
          <t>41738069:</t>
        </r>
        <r>
          <rPr>
            <sz val="8"/>
            <rFont val="Tahoma"/>
            <family val="2"/>
          </rPr>
          <t xml:space="preserve">
ENVIARON 30 JUNIO 2010, OFICIO CON ANEXOS PY G. NO VENIA BALANCE GENERAL.(lelgo 21 julio 2010 CORREO DIEGO.)</t>
        </r>
      </text>
    </comment>
    <comment ref="BI6" authorId="0">
      <text>
        <r>
          <rPr>
            <b/>
            <sz val="8"/>
            <rFont val="Tahoma"/>
            <family val="2"/>
          </rPr>
          <t>41738069:</t>
        </r>
        <r>
          <rPr>
            <sz val="8"/>
            <rFont val="Tahoma"/>
            <family val="2"/>
          </rPr>
          <t xml:space="preserve">
ENVIARON 30 JUNIO 2010, OFICIO CON ANEXOS PY G. NO VENIA BALANCE GENERAL.</t>
        </r>
      </text>
    </comment>
    <comment ref="CO6" authorId="0">
      <text>
        <r>
          <rPr>
            <sz val="8"/>
            <rFont val="Tahoma"/>
            <family val="2"/>
          </rPr>
          <t xml:space="preserve">HOY 21 JULIO 2010 POR CORREO DIEGO VUELVEN Y MANDAN PERO ILEGIBLES, NO LLEGA P Y G.
</t>
        </r>
      </text>
    </comment>
    <comment ref="CZ6" authorId="0">
      <text>
        <r>
          <rPr>
            <b/>
            <sz val="8"/>
            <rFont val="Tahoma"/>
            <family val="2"/>
          </rPr>
          <t>41738069:</t>
        </r>
        <r>
          <rPr>
            <sz val="8"/>
            <rFont val="Tahoma"/>
            <family val="2"/>
          </rPr>
          <t xml:space="preserve">
NO TRAE NOTAS A LOS ESTADOS FINANCIEROS, POR LO TANTO NO SE PUDO DISCRIMINAR EL PATRIMONIO. Hoy 6 julio por el correo de amalia envian unos estados fros  incompleto el PyG.</t>
        </r>
      </text>
    </comment>
  </commentList>
</comments>
</file>

<file path=xl/sharedStrings.xml><?xml version="1.0" encoding="utf-8"?>
<sst xmlns="http://schemas.openxmlformats.org/spreadsheetml/2006/main" count="338" uniqueCount="165">
  <si>
    <t>SANAR S.A - SANIDAD AERAGRICOLA "SANAR S.A."</t>
  </si>
  <si>
    <t xml:space="preserve">EMPRESAS DE AVIACION CIVIL  </t>
  </si>
  <si>
    <t>ESTADOS FINANCIEROS.</t>
  </si>
  <si>
    <t xml:space="preserve">ACTIVIDADES </t>
  </si>
  <si>
    <t>S.F.A. LTDA - SERVICIO DE FUNIGACION AEREA DEL CASANARE</t>
  </si>
  <si>
    <t>SANIDAD VEGETAL CRUZ VERDE LTDA</t>
  </si>
  <si>
    <t>COMPAÑÍA AEROFUMIGACIONES CALIMA S.A.</t>
  </si>
  <si>
    <t>No.</t>
  </si>
  <si>
    <t>TOTAL EMPRESAS</t>
  </si>
  <si>
    <t>TOTAL</t>
  </si>
  <si>
    <t>PASIVO CORRIENTE / TOTAL PASIVO</t>
  </si>
  <si>
    <t>BALANCE GENERAL</t>
  </si>
  <si>
    <t xml:space="preserve"> A  C  T  I  V  O  S </t>
  </si>
  <si>
    <t>ACTIVO CORRIENTE</t>
  </si>
  <si>
    <t>ACTIVO FIJO</t>
  </si>
  <si>
    <t>OTROS ACTIVOS</t>
  </si>
  <si>
    <t>TOTAL ACTIVO</t>
  </si>
  <si>
    <t>P  A  S  I  V  O  S</t>
  </si>
  <si>
    <t>PASIVO CORRIENTE</t>
  </si>
  <si>
    <t>PASIVO A LARGO PLAZO</t>
  </si>
  <si>
    <t>OTROS PASIVOS</t>
  </si>
  <si>
    <t>TOTAL PASIVO</t>
  </si>
  <si>
    <t xml:space="preserve">P A T R I M O N I O </t>
  </si>
  <si>
    <t>CAPITAL (PAGADO)</t>
  </si>
  <si>
    <t>UTILIDAD (PERDIDA) DEL EJERCICIO</t>
  </si>
  <si>
    <t>UTILIDAD (PERDIDAS) ACUMULADAS</t>
  </si>
  <si>
    <t>OTROS</t>
  </si>
  <si>
    <t>TOTAL PATRIMONIO</t>
  </si>
  <si>
    <t>TOTAL PASIVO Y PATRIMONIO</t>
  </si>
  <si>
    <t>INGRESOS Y EGRESOS</t>
  </si>
  <si>
    <t>I N G R E S O S</t>
  </si>
  <si>
    <t>INGRESOS OPERACIONALES</t>
  </si>
  <si>
    <t>OTROS INGRESOS</t>
  </si>
  <si>
    <t>TOTAL INGRESOS</t>
  </si>
  <si>
    <t>FUMIVALLE - FUMIGACIONES AEREAS VALLE S.A.</t>
  </si>
  <si>
    <t>ARFA - ARROCEROS FUMIGADORES ASOCIADOS S.A.</t>
  </si>
  <si>
    <t>G A S T O S</t>
  </si>
  <si>
    <t>OTROS GASTOS</t>
  </si>
  <si>
    <t>PROVISION PARA IMPUESTOS</t>
  </si>
  <si>
    <t>TOTAL GASTOS</t>
  </si>
  <si>
    <t>UTILIDAD (PERDIDA) OPERACIONAL</t>
  </si>
  <si>
    <t xml:space="preserve">UTILIDAD (PERDIDA) NETA        </t>
  </si>
  <si>
    <t>D E   L I Q U I D E Z</t>
  </si>
  <si>
    <t>D E  E N D E U D A M I E N T O</t>
  </si>
  <si>
    <t xml:space="preserve">TOTAL PASIVO/PATRIMONIO </t>
  </si>
  <si>
    <t xml:space="preserve">PASIVO LARGO PLAZO/PATRIMONIO </t>
  </si>
  <si>
    <t>TOTAL PASIVO / TOTAL ACTIVO</t>
  </si>
  <si>
    <t>D E  S O L I D E Z</t>
  </si>
  <si>
    <t>ACTIVO TOTAL/ PASIVO TOTAL</t>
  </si>
  <si>
    <t>D E  E S T A B I L I D A D</t>
  </si>
  <si>
    <t>ACTIVO FIJO/ PASIVO LARGO PLAZO</t>
  </si>
  <si>
    <t>DE PROPIEDAD DE LA EMPRESA</t>
  </si>
  <si>
    <t>D E   R E N T A B I L I D A D</t>
  </si>
  <si>
    <t>UTILIDAD NETA/INGRESOS TOTALES</t>
  </si>
  <si>
    <t>C A P I T A L   T R A B A J O</t>
  </si>
  <si>
    <t>ACTIVO CORRIENTE-PASIVO CORRIENTE</t>
  </si>
  <si>
    <t>TOTAL PATRIMONIO/TOTAL ACTIVO</t>
  </si>
  <si>
    <t>RUBROS / PERIODOS</t>
  </si>
  <si>
    <t>TOTAL ACTIVO/ PASIVO CORRIENTE</t>
  </si>
  <si>
    <t>TOTAL ACTIVO/TOTAL PASIVO</t>
  </si>
  <si>
    <t>UTILIDAD OPER./INGRESO OPER.</t>
  </si>
  <si>
    <t>RAZON CORRIENTE:A.Corriente/P.Corriente</t>
  </si>
  <si>
    <t>COSTOS Y GASTOS OPERACIONALES</t>
  </si>
  <si>
    <t>(miles de pesos)</t>
  </si>
  <si>
    <t>ESTADOS FINANCIEROS CONSOLIDADOS</t>
  </si>
  <si>
    <t>COEFICIENTES FINANCIEROS</t>
  </si>
  <si>
    <t xml:space="preserve">No. </t>
  </si>
  <si>
    <t xml:space="preserve">CUMPLIMIENTO EN EL ENVÍO DE LA INFORMACIÓN FINANCIERA </t>
  </si>
  <si>
    <t>PART.%</t>
  </si>
  <si>
    <t>CUADRO No. 1</t>
  </si>
  <si>
    <t>CUADRO N° 2</t>
  </si>
  <si>
    <t>CUADRO N° 3</t>
  </si>
  <si>
    <t>F U E N T E :  Cuadro No. 2</t>
  </si>
  <si>
    <t>CUMPLIMIENTO</t>
  </si>
  <si>
    <t xml:space="preserve">AERIAL </t>
  </si>
  <si>
    <t>TRABAJOS AEREOS ESPECIALES</t>
  </si>
  <si>
    <t>AVIACION AGRICOLA</t>
  </si>
  <si>
    <t>FAL</t>
  </si>
  <si>
    <t>CUADRO N° 8</t>
  </si>
  <si>
    <t>CUADRO N° 10</t>
  </si>
  <si>
    <t>CUADRO N° 9</t>
  </si>
  <si>
    <t>CUADRO N° 11</t>
  </si>
  <si>
    <t>CAAISA COMPAÑÍA AERO AGRICOLA INTEGRAL S.A.</t>
  </si>
  <si>
    <t>SADELL - SERVICIOS AEROAGRICOLAS DEL LLANO</t>
  </si>
  <si>
    <t>FIBA S.A. - SERVICIOS AGRICOLAS FIBA S.A.</t>
  </si>
  <si>
    <t>FUMINORTE - FUMIGACIONES AEREAS DEL NORTE LTDA</t>
  </si>
  <si>
    <t>SAMA LTDA - AVIACION AGRÍCOLA (SOCIEDAD AERO AGRICOLA DE MAGANGUE)</t>
  </si>
  <si>
    <t>AGIL - AVIACION AGRICOLA</t>
  </si>
  <si>
    <t>ASAM - AGRICOLA DE SERVICIOS AEREOS DEL META "ASAM LTDA"</t>
  </si>
  <si>
    <t>AEROTEC LTDA - ASPERSIONES TECNICAS DEL CAMPO</t>
  </si>
  <si>
    <t>AEROESTUDIOS S.A.</t>
  </si>
  <si>
    <t>ASA AERO SANIDAD AGRICOLA S en C.)</t>
  </si>
  <si>
    <t>FARCA S.A.(FUMIGACIONES AEREAS DE COLOMBIA)</t>
  </si>
  <si>
    <t>SERFA(SERVICIO DE FUMIGACION AEREA LTDA)</t>
  </si>
  <si>
    <t>FARI (FUMIGACIONES AEREAS DEL ARIARI)</t>
  </si>
  <si>
    <t>SAO (SERVICIO AEREO DEL ORIENTE)</t>
  </si>
  <si>
    <t>SAMBA(SOCIEDAD AEROAGRICOLA-AMBALEMA)</t>
  </si>
  <si>
    <t>FATOL (FUMIGACION AEREA DEL TOLIMA LTDA)</t>
  </si>
  <si>
    <t>FAL LTDA.INGENIEROS (FOTOGRAFIA  AEREA, CARTOGRAFIA ….)</t>
  </si>
  <si>
    <t>AEROPENORT LIDA AVIACION AGRICOLA</t>
  </si>
  <si>
    <t>AEROSERVICIOS MAJAGUAL LTDA - ASEM</t>
  </si>
  <si>
    <t>AMA - AVIONES Y MAQUINARIAS AGRICOLA "AMA " LTDA</t>
  </si>
  <si>
    <t xml:space="preserve"> </t>
  </si>
  <si>
    <t>FADELCE  ltda - FUMIGACIONES AEREAS DEL CESAR</t>
  </si>
  <si>
    <t>FAGA LTDA. FUMIGACIONES AEREAS GAVIOTAS CIA.</t>
  </si>
  <si>
    <t>FAGAN S. EN C." FUMIGACION AEREA LOS GAVANES</t>
  </si>
  <si>
    <t>FARO LTDA. FUMIGACION AEREA DEL ORIENTE</t>
  </si>
  <si>
    <t>FASE CUBIDES GONZALEZ Y CIA. S.EN.C. ANTES FUMIG AEREA Y SERV ESP</t>
  </si>
  <si>
    <t>SAAC (SERVICIOS AEROAGRICOLAS DEL CASANARE SAS)</t>
  </si>
  <si>
    <t>APLA LTDA - APLICACIONES AEREAS</t>
  </si>
  <si>
    <t>AVIAL LTDA - APLICACIONES AERO-AGRICOLAS</t>
  </si>
  <si>
    <t>AVIOCOL LTDA - FUMIGACION AEREA</t>
  </si>
  <si>
    <t>COALCESAR LTDA. COOP MULTIACTIVA  ALGODONERA DEL DEPTO DEL CESAR</t>
  </si>
  <si>
    <t>CELTA LTDA. COMPANIA ESPECIALIZADA EN TRABAJOS AEROAGRICOLAS</t>
  </si>
  <si>
    <t>COMERCIALIZADORA ECO LTDA</t>
  </si>
  <si>
    <t>ESTRA LTDA - ESPINAL TRABAJOS AEREOS</t>
  </si>
  <si>
    <t>FUMIVILLA LTDA. FUMIGACIONES AEREAS DE VILLANUEVA</t>
  </si>
  <si>
    <t>HELICE LTDA. - FUMIGACION AEREA</t>
  </si>
  <si>
    <t>SERVICIO AEREO FUMIGACION COLOMBIANA SAFUCO</t>
  </si>
  <si>
    <t>SERVICIO DE FUMIGACION AEREA SA. FUMIGARAY</t>
  </si>
  <si>
    <t>AEROESTUDIOS S.A.- fotografia aérea -cartografía digital</t>
  </si>
  <si>
    <t>F U E N T E :  Cuadro No. C6</t>
  </si>
  <si>
    <t>F U E N T E :  Cuadro No. C4</t>
  </si>
  <si>
    <t xml:space="preserve"> TRABAJOS AEREOS ESPECIALES</t>
  </si>
  <si>
    <t>TRABAJOS AEREOS ESPECIALES  - AVIACION AGRICOLA</t>
  </si>
  <si>
    <t>Fuente : Cuadro excel control recepción Estados Financieros 2011</t>
  </si>
  <si>
    <t>TRABAJOS AEREOS ESPECIALES Y AVIACIION AGRICOLA - AÑO 2011</t>
  </si>
  <si>
    <t xml:space="preserve">Fuente: Estados Financieros de 2011 </t>
  </si>
  <si>
    <t>EMPRESAS DE AVIACION CIVIL - TRABAJOS AEREOS ESPECIALES</t>
  </si>
  <si>
    <t xml:space="preserve"> AÑO 2011</t>
  </si>
  <si>
    <t>GLOBAL SERVICE AVIATION  GSA LTDA</t>
  </si>
  <si>
    <t>TRABAJOS AEREOS ESPECIALES - AÑO 2011</t>
  </si>
  <si>
    <t>Fuente: Estados Financieros de 2011</t>
  </si>
  <si>
    <t>AMBULANCIAS AEREAS DE COLOMBIA</t>
  </si>
  <si>
    <t xml:space="preserve">AMBULANCIAS AEREAS DE COLOMBIA </t>
  </si>
  <si>
    <t>QUIMBAYA EXPLORACION Y RECURSOS GEOMATICOS LTDA "QUERGEO LTDA"</t>
  </si>
  <si>
    <t xml:space="preserve">EMPRESAS DE AVIACION CIVIL </t>
  </si>
  <si>
    <t>AERIAL -SIGNG AVIONES PUBLICITARIOS DE COLOMBIA LTDA</t>
  </si>
  <si>
    <t>EMPRESAS DE AVIACION CIVIL</t>
  </si>
  <si>
    <t>POR ACTIVIDAD - AÑO 2011</t>
  </si>
  <si>
    <t>INDICADORES FINANCIEROS</t>
  </si>
  <si>
    <t>AVIACION AGRICOLA - AÑO 2011</t>
  </si>
  <si>
    <t>EMPRESAS DE AVIACION CIVIL TRABAJOS AEREOS ESPECIALES</t>
  </si>
  <si>
    <t>C.C.A. COMPAÑÍA COLOMBIANA DE AEROSERVICIOS</t>
  </si>
  <si>
    <t xml:space="preserve">TOTAL EMPRESAS </t>
  </si>
  <si>
    <t>SUSPENDIDAS</t>
  </si>
  <si>
    <t>PRESENTARON E.F.</t>
  </si>
  <si>
    <t>FALTAN</t>
  </si>
  <si>
    <t>AEROPENORT</t>
  </si>
  <si>
    <t>AVIAL</t>
  </si>
  <si>
    <t>FUMIVILLA</t>
  </si>
  <si>
    <t>HELICE</t>
  </si>
  <si>
    <t>SAMA</t>
  </si>
  <si>
    <t>SFA</t>
  </si>
  <si>
    <t>SAFUCO</t>
  </si>
  <si>
    <t xml:space="preserve">FAGAN </t>
  </si>
  <si>
    <t>SERFA</t>
  </si>
  <si>
    <t>Suspendida</t>
  </si>
  <si>
    <t>Cancelada</t>
  </si>
  <si>
    <t>quimbaya</t>
  </si>
  <si>
    <t>TRABAJOS AEREOS ESPECIALES *</t>
  </si>
  <si>
    <t>AVIACION AGRICOLA **</t>
  </si>
  <si>
    <r>
      <rPr>
        <b/>
        <u val="single"/>
        <sz val="10"/>
        <rFont val="Arial"/>
        <family val="2"/>
      </rPr>
      <t>No presentaron E.F.:</t>
    </r>
    <r>
      <rPr>
        <sz val="10"/>
        <rFont val="Arial"/>
        <family val="2"/>
      </rPr>
      <t xml:space="preserve">
 *Quimbaya Exploración Recursos Geomaticos "QUERGEO"  
** Aeropenort, Avial, Fumivilla, Helice, Sama, SFA, Safuco</t>
    </r>
  </si>
  <si>
    <r>
      <t xml:space="preserve">SERFA(SERVICIO DE FUMIGACION AEREA LTDA)
</t>
    </r>
    <r>
      <rPr>
        <b/>
        <sz val="6"/>
        <color indexed="10"/>
        <rFont val="Arial"/>
        <family val="2"/>
      </rPr>
      <t>CANCELADA</t>
    </r>
  </si>
  <si>
    <r>
      <t xml:space="preserve">FAGAN S. EN C." FUMIGACION AEREA LOS GAVANES           
</t>
    </r>
    <r>
      <rPr>
        <b/>
        <sz val="6"/>
        <color indexed="10"/>
        <rFont val="Arial"/>
        <family val="2"/>
      </rPr>
      <t>SUSPENDIDA</t>
    </r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</si>
</sst>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  <numFmt numFmtId="177" formatCode="_-* #,##0_-;\-* #,##0_-;_-* &quot;-&quot;??_-;_-@_-"/>
    <numFmt numFmtId="178" formatCode="_-* #,##0.0_-;\-* #,##0.0_-;_-* &quot;-&quot;??_-;_-@_-"/>
    <numFmt numFmtId="179" formatCode="0_)"/>
    <numFmt numFmtId="180" formatCode="#,##0.00\ _€"/>
    <numFmt numFmtId="181" formatCode="0.000000"/>
    <numFmt numFmtId="182" formatCode="0.00000"/>
    <numFmt numFmtId="183" formatCode="0.0000"/>
    <numFmt numFmtId="184" formatCode="0.000"/>
    <numFmt numFmtId="185" formatCode="_ * #,##0.000_ ;_ * \-#,##0.000_ ;_ * &quot;-&quot;?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_ ;_ * \-#,##0_ ;_ * &quot;-&quot;??_ ;_ @_ "/>
    <numFmt numFmtId="191" formatCode="_(* #,##0.00_);_(* \(#,##0.00\);_(* &quot;-&quot;_);_(@_)"/>
    <numFmt numFmtId="192" formatCode="_(* #,##0_);_(* \(#,##0\);_(* &quot;-&quot;??_);_(@_)"/>
    <numFmt numFmtId="193" formatCode="#,##0.0000"/>
    <numFmt numFmtId="194" formatCode="[$-240A]dddd\,\ dd&quot; de &quot;mmmm&quot; de &quot;yyyy"/>
    <numFmt numFmtId="195" formatCode="dd/mm/yyyy;@"/>
    <numFmt numFmtId="196" formatCode="_ * #,##0.00000_ ;_ * \-#,##0.00000_ ;_ * &quot;-&quot;?????_ ;_ @_ "/>
    <numFmt numFmtId="197" formatCode="0.00000000000000%"/>
    <numFmt numFmtId="198" formatCode="[$-240A]hh:mm:ss\ AM/PM"/>
  </numFmts>
  <fonts count="9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b/>
      <sz val="10"/>
      <color indexed="8"/>
      <name val="Times New Roman"/>
      <family val="1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26"/>
      <name val="Arial"/>
      <family val="2"/>
    </font>
    <font>
      <b/>
      <u val="single"/>
      <sz val="10"/>
      <name val="Arial"/>
      <family val="2"/>
    </font>
    <font>
      <sz val="2.75"/>
      <color indexed="8"/>
      <name val="Arial"/>
      <family val="2"/>
    </font>
    <font>
      <sz val="2.5"/>
      <color indexed="8"/>
      <name val="Arial"/>
      <family val="2"/>
    </font>
    <font>
      <b/>
      <sz val="3.25"/>
      <color indexed="8"/>
      <name val="Arial"/>
      <family val="2"/>
    </font>
    <font>
      <sz val="3.5"/>
      <color indexed="8"/>
      <name val="Arial"/>
      <family val="2"/>
    </font>
    <font>
      <sz val="1.75"/>
      <color indexed="8"/>
      <name val="Arial"/>
      <family val="2"/>
    </font>
    <font>
      <b/>
      <sz val="1.75"/>
      <color indexed="8"/>
      <name val="Arial"/>
      <family val="2"/>
    </font>
    <font>
      <b/>
      <sz val="3"/>
      <color indexed="8"/>
      <name val="Arial"/>
      <family val="2"/>
    </font>
    <font>
      <sz val="2.25"/>
      <color indexed="8"/>
      <name val="Arial"/>
      <family val="2"/>
    </font>
    <font>
      <sz val="1.5"/>
      <color indexed="8"/>
      <name val="Arial"/>
      <family val="2"/>
    </font>
    <font>
      <b/>
      <sz val="1.5"/>
      <color indexed="8"/>
      <name val="Arial"/>
      <family val="2"/>
    </font>
    <font>
      <b/>
      <sz val="1.25"/>
      <color indexed="8"/>
      <name val="Arial"/>
      <family val="2"/>
    </font>
    <font>
      <b/>
      <sz val="2.5"/>
      <color indexed="8"/>
      <name val="Arial"/>
      <family val="2"/>
    </font>
    <font>
      <b/>
      <sz val="3.5"/>
      <color indexed="8"/>
      <name val="Arial"/>
      <family val="2"/>
    </font>
    <font>
      <sz val="4.9"/>
      <color indexed="8"/>
      <name val="Arial"/>
      <family val="2"/>
    </font>
    <font>
      <sz val="3"/>
      <color indexed="8"/>
      <name val="Arial"/>
      <family val="2"/>
    </font>
    <font>
      <sz val="3.25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sz val="4.2"/>
      <color indexed="8"/>
      <name val="Arial"/>
      <family val="2"/>
    </font>
    <font>
      <sz val="1"/>
      <color indexed="8"/>
      <name val="Arial"/>
      <family val="2"/>
    </font>
    <font>
      <sz val="1"/>
      <color indexed="9"/>
      <name val="Arial"/>
      <family val="2"/>
    </font>
    <font>
      <b/>
      <sz val="1"/>
      <color indexed="8"/>
      <name val="Arial"/>
      <family val="2"/>
    </font>
    <font>
      <b/>
      <sz val="5.7"/>
      <color indexed="8"/>
      <name val="Arial"/>
      <family val="2"/>
    </font>
    <font>
      <sz val="3.75"/>
      <color indexed="8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2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80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14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14" fillId="0" borderId="11" xfId="0" applyNumberFormat="1" applyFont="1" applyFill="1" applyBorder="1" applyAlignment="1" applyProtection="1">
      <alignment horizontal="left"/>
      <protection/>
    </xf>
    <xf numFmtId="37" fontId="14" fillId="0" borderId="12" xfId="0" applyNumberFormat="1" applyFont="1" applyFill="1" applyBorder="1" applyAlignment="1" applyProtection="1">
      <alignment horizontal="center"/>
      <protection/>
    </xf>
    <xf numFmtId="37" fontId="14" fillId="0" borderId="11" xfId="0" applyNumberFormat="1" applyFont="1" applyFill="1" applyBorder="1" applyAlignment="1" applyProtection="1">
      <alignment horizontal="center"/>
      <protection/>
    </xf>
    <xf numFmtId="37" fontId="14" fillId="0" borderId="13" xfId="0" applyNumberFormat="1" applyFont="1" applyFill="1" applyBorder="1" applyAlignment="1" applyProtection="1">
      <alignment horizontal="left"/>
      <protection/>
    </xf>
    <xf numFmtId="41" fontId="14" fillId="0" borderId="13" xfId="0" applyNumberFormat="1" applyFont="1" applyFill="1" applyBorder="1" applyAlignment="1" applyProtection="1">
      <alignment horizontal="left"/>
      <protection/>
    </xf>
    <xf numFmtId="37" fontId="17" fillId="0" borderId="13" xfId="0" applyNumberFormat="1" applyFont="1" applyFill="1" applyBorder="1" applyAlignment="1" applyProtection="1">
      <alignment horizontal="left"/>
      <protection/>
    </xf>
    <xf numFmtId="41" fontId="17" fillId="0" borderId="13" xfId="0" applyNumberFormat="1" applyFont="1" applyFill="1" applyBorder="1" applyAlignment="1" applyProtection="1">
      <alignment horizontal="right"/>
      <protection/>
    </xf>
    <xf numFmtId="41" fontId="15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37" fontId="17" fillId="0" borderId="13" xfId="0" applyNumberFormat="1" applyFont="1" applyFill="1" applyBorder="1" applyAlignment="1" applyProtection="1" quotePrefix="1">
      <alignment horizontal="left"/>
      <protection/>
    </xf>
    <xf numFmtId="37" fontId="14" fillId="0" borderId="0" xfId="0" applyNumberFormat="1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4" fontId="18" fillId="0" borderId="14" xfId="0" applyNumberFormat="1" applyFont="1" applyFill="1" applyBorder="1" applyAlignment="1" applyProtection="1">
      <alignment horizontal="right"/>
      <protection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41" fontId="18" fillId="0" borderId="14" xfId="0" applyNumberFormat="1" applyFont="1" applyFill="1" applyBorder="1" applyAlignment="1">
      <alignment horizontal="right"/>
    </xf>
    <xf numFmtId="37" fontId="14" fillId="0" borderId="15" xfId="0" applyNumberFormat="1" applyFont="1" applyFill="1" applyBorder="1" applyAlignment="1" applyProtection="1">
      <alignment horizontal="left"/>
      <protection/>
    </xf>
    <xf numFmtId="177" fontId="17" fillId="0" borderId="15" xfId="48" applyNumberFormat="1" applyFont="1" applyFill="1" applyBorder="1" applyAlignment="1" applyProtection="1">
      <alignment horizontal="left"/>
      <protection/>
    </xf>
    <xf numFmtId="37" fontId="17" fillId="0" borderId="15" xfId="0" applyNumberFormat="1" applyFont="1" applyFill="1" applyBorder="1" applyAlignment="1" applyProtection="1">
      <alignment horizontal="left"/>
      <protection/>
    </xf>
    <xf numFmtId="37" fontId="17" fillId="0" borderId="15" xfId="0" applyNumberFormat="1" applyFont="1" applyFill="1" applyBorder="1" applyAlignment="1" applyProtection="1" quotePrefix="1">
      <alignment horizontal="left"/>
      <protection/>
    </xf>
    <xf numFmtId="37" fontId="17" fillId="0" borderId="16" xfId="0" applyNumberFormat="1" applyFont="1" applyFill="1" applyBorder="1" applyAlignment="1" applyProtection="1" quotePrefix="1">
      <alignment horizontal="left"/>
      <protection/>
    </xf>
    <xf numFmtId="41" fontId="18" fillId="0" borderId="17" xfId="0" applyNumberFormat="1" applyFont="1" applyFill="1" applyBorder="1" applyAlignment="1" applyProtection="1">
      <alignment horizontal="right"/>
      <protection/>
    </xf>
    <xf numFmtId="37" fontId="14" fillId="0" borderId="18" xfId="0" applyNumberFormat="1" applyFont="1" applyFill="1" applyBorder="1" applyAlignment="1" applyProtection="1">
      <alignment horizontal="left"/>
      <protection/>
    </xf>
    <xf numFmtId="10" fontId="14" fillId="0" borderId="19" xfId="0" applyNumberFormat="1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2" fillId="0" borderId="0" xfId="0" applyFont="1" applyFill="1" applyAlignment="1">
      <alignment/>
    </xf>
    <xf numFmtId="177" fontId="0" fillId="0" borderId="14" xfId="48" applyNumberFormat="1" applyFont="1" applyFill="1" applyBorder="1" applyAlignment="1">
      <alignment/>
    </xf>
    <xf numFmtId="177" fontId="12" fillId="0" borderId="14" xfId="48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15" xfId="0" applyFont="1" applyFill="1" applyBorder="1" applyAlignment="1">
      <alignment/>
    </xf>
    <xf numFmtId="177" fontId="12" fillId="0" borderId="21" xfId="4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22" xfId="0" applyFill="1" applyBorder="1" applyAlignment="1">
      <alignment/>
    </xf>
    <xf numFmtId="177" fontId="0" fillId="0" borderId="23" xfId="48" applyNumberFormat="1" applyFont="1" applyFill="1" applyBorder="1" applyAlignment="1">
      <alignment/>
    </xf>
    <xf numFmtId="177" fontId="0" fillId="0" borderId="24" xfId="48" applyNumberFormat="1" applyFont="1" applyFill="1" applyBorder="1" applyAlignment="1">
      <alignment/>
    </xf>
    <xf numFmtId="177" fontId="12" fillId="0" borderId="24" xfId="48" applyNumberFormat="1" applyFont="1" applyFill="1" applyBorder="1" applyAlignment="1">
      <alignment/>
    </xf>
    <xf numFmtId="0" fontId="0" fillId="0" borderId="0" xfId="0" applyFill="1" applyAlignment="1">
      <alignment vertical="center" shrinkToFit="1"/>
    </xf>
    <xf numFmtId="177" fontId="22" fillId="0" borderId="14" xfId="48" applyNumberFormat="1" applyFont="1" applyFill="1" applyBorder="1" applyAlignment="1">
      <alignment/>
    </xf>
    <xf numFmtId="177" fontId="24" fillId="0" borderId="14" xfId="48" applyNumberFormat="1" applyFont="1" applyFill="1" applyBorder="1" applyAlignment="1">
      <alignment/>
    </xf>
    <xf numFmtId="0" fontId="22" fillId="0" borderId="0" xfId="0" applyFont="1" applyFill="1" applyAlignment="1">
      <alignment vertical="center" shrinkToFit="1"/>
    </xf>
    <xf numFmtId="37" fontId="17" fillId="0" borderId="25" xfId="0" applyNumberFormat="1" applyFont="1" applyFill="1" applyBorder="1" applyAlignment="1" applyProtection="1">
      <alignment horizontal="left"/>
      <protection/>
    </xf>
    <xf numFmtId="37" fontId="17" fillId="0" borderId="26" xfId="0" applyNumberFormat="1" applyFont="1" applyFill="1" applyBorder="1" applyAlignment="1" applyProtection="1">
      <alignment horizontal="left"/>
      <protection/>
    </xf>
    <xf numFmtId="37" fontId="17" fillId="0" borderId="26" xfId="0" applyNumberFormat="1" applyFont="1" applyFill="1" applyBorder="1" applyAlignment="1" applyProtection="1" quotePrefix="1">
      <alignment horizontal="left"/>
      <protection/>
    </xf>
    <xf numFmtId="37" fontId="17" fillId="0" borderId="27" xfId="0" applyNumberFormat="1" applyFont="1" applyFill="1" applyBorder="1" applyAlignment="1" applyProtection="1">
      <alignment horizontal="left"/>
      <protection/>
    </xf>
    <xf numFmtId="37" fontId="17" fillId="0" borderId="28" xfId="0" applyNumberFormat="1" applyFont="1" applyFill="1" applyBorder="1" applyAlignment="1" applyProtection="1">
      <alignment horizontal="left"/>
      <protection/>
    </xf>
    <xf numFmtId="37" fontId="17" fillId="0" borderId="29" xfId="0" applyNumberFormat="1" applyFont="1" applyFill="1" applyBorder="1" applyAlignment="1" applyProtection="1" quotePrefix="1">
      <alignment horizontal="left"/>
      <protection/>
    </xf>
    <xf numFmtId="10" fontId="14" fillId="0" borderId="30" xfId="0" applyNumberFormat="1" applyFont="1" applyFill="1" applyBorder="1" applyAlignment="1" applyProtection="1">
      <alignment horizontal="right"/>
      <protection/>
    </xf>
    <xf numFmtId="0" fontId="0" fillId="32" borderId="14" xfId="0" applyFill="1" applyBorder="1" applyAlignment="1">
      <alignment/>
    </xf>
    <xf numFmtId="0" fontId="0" fillId="0" borderId="0" xfId="0" applyBorder="1" applyAlignment="1">
      <alignment/>
    </xf>
    <xf numFmtId="177" fontId="0" fillId="0" borderId="15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7" fontId="0" fillId="32" borderId="14" xfId="48" applyNumberFormat="1" applyFont="1" applyFill="1" applyBorder="1" applyAlignment="1">
      <alignment/>
    </xf>
    <xf numFmtId="177" fontId="12" fillId="32" borderId="14" xfId="48" applyNumberFormat="1" applyFont="1" applyFill="1" applyBorder="1" applyAlignment="1">
      <alignment/>
    </xf>
    <xf numFmtId="0" fontId="0" fillId="32" borderId="14" xfId="0" applyFont="1" applyFill="1" applyBorder="1" applyAlignment="1">
      <alignment/>
    </xf>
    <xf numFmtId="177" fontId="12" fillId="32" borderId="14" xfId="48" applyNumberFormat="1" applyFont="1" applyFill="1" applyBorder="1" applyAlignment="1">
      <alignment/>
    </xf>
    <xf numFmtId="0" fontId="0" fillId="32" borderId="0" xfId="0" applyFill="1" applyAlignment="1">
      <alignment/>
    </xf>
    <xf numFmtId="10" fontId="11" fillId="0" borderId="0" xfId="0" applyNumberFormat="1" applyFont="1" applyFill="1" applyAlignment="1">
      <alignment/>
    </xf>
    <xf numFmtId="37" fontId="19" fillId="0" borderId="31" xfId="0" applyNumberFormat="1" applyFont="1" applyFill="1" applyBorder="1" applyAlignment="1" applyProtection="1" quotePrefix="1">
      <alignment horizontal="left"/>
      <protection/>
    </xf>
    <xf numFmtId="41" fontId="19" fillId="0" borderId="31" xfId="0" applyNumberFormat="1" applyFont="1" applyFill="1" applyBorder="1" applyAlignment="1" applyProtection="1">
      <alignment horizontal="right"/>
      <protection locked="0"/>
    </xf>
    <xf numFmtId="37" fontId="14" fillId="32" borderId="11" xfId="0" applyNumberFormat="1" applyFont="1" applyFill="1" applyBorder="1" applyAlignment="1" applyProtection="1">
      <alignment horizontal="center"/>
      <protection/>
    </xf>
    <xf numFmtId="41" fontId="14" fillId="32" borderId="13" xfId="0" applyNumberFormat="1" applyFont="1" applyFill="1" applyBorder="1" applyAlignment="1" applyProtection="1">
      <alignment horizontal="left"/>
      <protection/>
    </xf>
    <xf numFmtId="41" fontId="17" fillId="32" borderId="13" xfId="0" applyNumberFormat="1" applyFont="1" applyFill="1" applyBorder="1" applyAlignment="1" applyProtection="1">
      <alignment horizontal="right"/>
      <protection/>
    </xf>
    <xf numFmtId="41" fontId="15" fillId="32" borderId="13" xfId="0" applyNumberFormat="1" applyFont="1" applyFill="1" applyBorder="1" applyAlignment="1" applyProtection="1">
      <alignment horizontal="right"/>
      <protection/>
    </xf>
    <xf numFmtId="41" fontId="19" fillId="32" borderId="31" xfId="0" applyNumberFormat="1" applyFont="1" applyFill="1" applyBorder="1" applyAlignment="1" applyProtection="1">
      <alignment horizontal="right"/>
      <protection locked="0"/>
    </xf>
    <xf numFmtId="41" fontId="14" fillId="0" borderId="13" xfId="0" applyNumberFormat="1" applyFont="1" applyFill="1" applyBorder="1" applyAlignment="1" applyProtection="1">
      <alignment horizontal="right"/>
      <protection/>
    </xf>
    <xf numFmtId="10" fontId="0" fillId="0" borderId="0" xfId="0" applyNumberFormat="1" applyFill="1" applyAlignment="1">
      <alignment/>
    </xf>
    <xf numFmtId="10" fontId="18" fillId="0" borderId="14" xfId="0" applyNumberFormat="1" applyFont="1" applyFill="1" applyBorder="1" applyAlignment="1" applyProtection="1">
      <alignment horizontal="right"/>
      <protection/>
    </xf>
    <xf numFmtId="10" fontId="18" fillId="0" borderId="14" xfId="0" applyNumberFormat="1" applyFont="1" applyFill="1" applyBorder="1" applyAlignment="1" applyProtection="1">
      <alignment horizontal="right"/>
      <protection locked="0"/>
    </xf>
    <xf numFmtId="10" fontId="18" fillId="0" borderId="30" xfId="0" applyNumberFormat="1" applyFont="1" applyFill="1" applyBorder="1" applyAlignment="1" applyProtection="1">
      <alignment horizontal="right"/>
      <protection locked="0"/>
    </xf>
    <xf numFmtId="10" fontId="18" fillId="0" borderId="19" xfId="0" applyNumberFormat="1" applyFont="1" applyFill="1" applyBorder="1" applyAlignment="1" applyProtection="1">
      <alignment horizontal="right"/>
      <protection locked="0"/>
    </xf>
    <xf numFmtId="10" fontId="17" fillId="0" borderId="13" xfId="0" applyNumberFormat="1" applyFont="1" applyFill="1" applyBorder="1" applyAlignment="1" applyProtection="1">
      <alignment horizontal="right"/>
      <protection/>
    </xf>
    <xf numFmtId="10" fontId="14" fillId="0" borderId="13" xfId="0" applyNumberFormat="1" applyFont="1" applyFill="1" applyBorder="1" applyAlignment="1" applyProtection="1">
      <alignment horizontal="left"/>
      <protection/>
    </xf>
    <xf numFmtId="10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/>
    </xf>
    <xf numFmtId="177" fontId="12" fillId="0" borderId="17" xfId="48" applyNumberFormat="1" applyFont="1" applyFill="1" applyBorder="1" applyAlignment="1">
      <alignment/>
    </xf>
    <xf numFmtId="177" fontId="12" fillId="32" borderId="17" xfId="48" applyNumberFormat="1" applyFont="1" applyFill="1" applyBorder="1" applyAlignment="1">
      <alignment/>
    </xf>
    <xf numFmtId="177" fontId="12" fillId="0" borderId="32" xfId="48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177" fontId="12" fillId="33" borderId="14" xfId="48" applyNumberFormat="1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177" fontId="12" fillId="33" borderId="17" xfId="48" applyNumberFormat="1" applyFont="1" applyFill="1" applyBorder="1" applyAlignment="1">
      <alignment/>
    </xf>
    <xf numFmtId="177" fontId="0" fillId="34" borderId="14" xfId="48" applyNumberFormat="1" applyFont="1" applyFill="1" applyBorder="1" applyAlignment="1">
      <alignment/>
    </xf>
    <xf numFmtId="177" fontId="12" fillId="34" borderId="14" xfId="48" applyNumberFormat="1" applyFont="1" applyFill="1" applyBorder="1" applyAlignment="1">
      <alignment/>
    </xf>
    <xf numFmtId="177" fontId="12" fillId="34" borderId="17" xfId="48" applyNumberFormat="1" applyFont="1" applyFill="1" applyBorder="1" applyAlignment="1">
      <alignment/>
    </xf>
    <xf numFmtId="177" fontId="22" fillId="33" borderId="14" xfId="48" applyNumberFormat="1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0" fontId="90" fillId="0" borderId="15" xfId="0" applyFont="1" applyFill="1" applyBorder="1" applyAlignment="1">
      <alignment/>
    </xf>
    <xf numFmtId="177" fontId="90" fillId="0" borderId="14" xfId="48" applyNumberFormat="1" applyFont="1" applyFill="1" applyBorder="1" applyAlignment="1">
      <alignment/>
    </xf>
    <xf numFmtId="177" fontId="90" fillId="33" borderId="14" xfId="48" applyNumberFormat="1" applyFont="1" applyFill="1" applyBorder="1" applyAlignment="1">
      <alignment/>
    </xf>
    <xf numFmtId="177" fontId="90" fillId="34" borderId="14" xfId="48" applyNumberFormat="1" applyFont="1" applyFill="1" applyBorder="1" applyAlignment="1">
      <alignment/>
    </xf>
    <xf numFmtId="0" fontId="90" fillId="0" borderId="0" xfId="0" applyFont="1" applyFill="1" applyAlignment="1">
      <alignment/>
    </xf>
    <xf numFmtId="177" fontId="90" fillId="0" borderId="24" xfId="48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7" fontId="12" fillId="33" borderId="14" xfId="48" applyNumberFormat="1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0" fontId="0" fillId="32" borderId="14" xfId="0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177" fontId="0" fillId="34" borderId="14" xfId="48" applyNumberFormat="1" applyFont="1" applyFill="1" applyBorder="1" applyAlignment="1">
      <alignment/>
    </xf>
    <xf numFmtId="177" fontId="91" fillId="34" borderId="14" xfId="48" applyNumberFormat="1" applyFont="1" applyFill="1" applyBorder="1" applyAlignment="1">
      <alignment/>
    </xf>
    <xf numFmtId="177" fontId="91" fillId="32" borderId="14" xfId="48" applyNumberFormat="1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177" fontId="92" fillId="32" borderId="17" xfId="48" applyNumberFormat="1" applyFont="1" applyFill="1" applyBorder="1" applyAlignment="1">
      <alignment/>
    </xf>
    <xf numFmtId="177" fontId="0" fillId="35" borderId="14" xfId="48" applyNumberFormat="1" applyFont="1" applyFill="1" applyBorder="1" applyAlignment="1">
      <alignment/>
    </xf>
    <xf numFmtId="177" fontId="0" fillId="34" borderId="14" xfId="48" applyNumberFormat="1" applyFont="1" applyFill="1" applyBorder="1" applyAlignment="1">
      <alignment/>
    </xf>
    <xf numFmtId="177" fontId="90" fillId="32" borderId="14" xfId="48" applyNumberFormat="1" applyFont="1" applyFill="1" applyBorder="1" applyAlignment="1">
      <alignment/>
    </xf>
    <xf numFmtId="10" fontId="18" fillId="34" borderId="14" xfId="0" applyNumberFormat="1" applyFont="1" applyFill="1" applyBorder="1" applyAlignment="1" applyProtection="1">
      <alignment horizontal="right"/>
      <protection/>
    </xf>
    <xf numFmtId="10" fontId="18" fillId="34" borderId="14" xfId="0" applyNumberFormat="1" applyFont="1" applyFill="1" applyBorder="1" applyAlignment="1" applyProtection="1">
      <alignment horizontal="right"/>
      <protection locked="0"/>
    </xf>
    <xf numFmtId="41" fontId="18" fillId="34" borderId="14" xfId="0" applyNumberFormat="1" applyFont="1" applyFill="1" applyBorder="1" applyAlignment="1">
      <alignment horizontal="right"/>
    </xf>
    <xf numFmtId="41" fontId="18" fillId="34" borderId="17" xfId="0" applyNumberFormat="1" applyFont="1" applyFill="1" applyBorder="1" applyAlignment="1" applyProtection="1">
      <alignment horizontal="right"/>
      <protection/>
    </xf>
    <xf numFmtId="177" fontId="92" fillId="0" borderId="14" xfId="48" applyNumberFormat="1" applyFont="1" applyFill="1" applyBorder="1" applyAlignment="1">
      <alignment/>
    </xf>
    <xf numFmtId="4" fontId="18" fillId="34" borderId="14" xfId="0" applyNumberFormat="1" applyFont="1" applyFill="1" applyBorder="1" applyAlignment="1" applyProtection="1">
      <alignment horizontal="right"/>
      <protection/>
    </xf>
    <xf numFmtId="4" fontId="18" fillId="34" borderId="14" xfId="0" applyNumberFormat="1" applyFont="1" applyFill="1" applyBorder="1" applyAlignment="1" applyProtection="1">
      <alignment horizontal="right"/>
      <protection locked="0"/>
    </xf>
    <xf numFmtId="4" fontId="18" fillId="34" borderId="24" xfId="0" applyNumberFormat="1" applyFont="1" applyFill="1" applyBorder="1" applyAlignment="1" applyProtection="1">
      <alignment horizontal="right"/>
      <protection/>
    </xf>
    <xf numFmtId="4" fontId="18" fillId="34" borderId="24" xfId="0" applyNumberFormat="1" applyFont="1" applyFill="1" applyBorder="1" applyAlignment="1" applyProtection="1">
      <alignment horizontal="right"/>
      <protection locked="0"/>
    </xf>
    <xf numFmtId="41" fontId="18" fillId="34" borderId="24" xfId="0" applyNumberFormat="1" applyFont="1" applyFill="1" applyBorder="1" applyAlignment="1">
      <alignment horizontal="right"/>
    </xf>
    <xf numFmtId="41" fontId="18" fillId="34" borderId="32" xfId="0" applyNumberFormat="1" applyFont="1" applyFill="1" applyBorder="1" applyAlignment="1" applyProtection="1">
      <alignment horizontal="right"/>
      <protection/>
    </xf>
    <xf numFmtId="10" fontId="18" fillId="36" borderId="30" xfId="0" applyNumberFormat="1" applyFont="1" applyFill="1" applyBorder="1" applyAlignment="1" applyProtection="1">
      <alignment horizontal="right"/>
      <protection locked="0"/>
    </xf>
    <xf numFmtId="10" fontId="18" fillId="36" borderId="19" xfId="0" applyNumberFormat="1" applyFont="1" applyFill="1" applyBorder="1" applyAlignment="1" applyProtection="1">
      <alignment horizontal="right"/>
      <protection locked="0"/>
    </xf>
    <xf numFmtId="10" fontId="18" fillId="36" borderId="14" xfId="0" applyNumberFormat="1" applyFont="1" applyFill="1" applyBorder="1" applyAlignment="1" applyProtection="1">
      <alignment horizontal="right"/>
      <protection/>
    </xf>
    <xf numFmtId="37" fontId="14" fillId="33" borderId="12" xfId="0" applyNumberFormat="1" applyFont="1" applyFill="1" applyBorder="1" applyAlignment="1" applyProtection="1">
      <alignment horizontal="center"/>
      <protection/>
    </xf>
    <xf numFmtId="41" fontId="14" fillId="33" borderId="13" xfId="0" applyNumberFormat="1" applyFont="1" applyFill="1" applyBorder="1" applyAlignment="1" applyProtection="1">
      <alignment horizontal="left"/>
      <protection/>
    </xf>
    <xf numFmtId="41" fontId="17" fillId="33" borderId="13" xfId="0" applyNumberFormat="1" applyFont="1" applyFill="1" applyBorder="1" applyAlignment="1" applyProtection="1">
      <alignment horizontal="right"/>
      <protection/>
    </xf>
    <xf numFmtId="41" fontId="15" fillId="33" borderId="13" xfId="0" applyNumberFormat="1" applyFont="1" applyFill="1" applyBorder="1" applyAlignment="1" applyProtection="1">
      <alignment horizontal="right"/>
      <protection/>
    </xf>
    <xf numFmtId="41" fontId="19" fillId="33" borderId="31" xfId="0" applyNumberFormat="1" applyFont="1" applyFill="1" applyBorder="1" applyAlignment="1" applyProtection="1">
      <alignment horizontal="right"/>
      <protection locked="0"/>
    </xf>
    <xf numFmtId="37" fontId="14" fillId="33" borderId="11" xfId="0" applyNumberFormat="1" applyFont="1" applyFill="1" applyBorder="1" applyAlignment="1" applyProtection="1">
      <alignment horizontal="center"/>
      <protection/>
    </xf>
    <xf numFmtId="41" fontId="17" fillId="34" borderId="13" xfId="0" applyNumberFormat="1" applyFont="1" applyFill="1" applyBorder="1" applyAlignment="1" applyProtection="1">
      <alignment horizontal="right"/>
      <protection/>
    </xf>
    <xf numFmtId="37" fontId="14" fillId="34" borderId="11" xfId="0" applyNumberFormat="1" applyFont="1" applyFill="1" applyBorder="1" applyAlignment="1" applyProtection="1">
      <alignment horizontal="center"/>
      <protection/>
    </xf>
    <xf numFmtId="41" fontId="14" fillId="34" borderId="13" xfId="0" applyNumberFormat="1" applyFont="1" applyFill="1" applyBorder="1" applyAlignment="1" applyProtection="1">
      <alignment horizontal="left"/>
      <protection/>
    </xf>
    <xf numFmtId="41" fontId="15" fillId="34" borderId="13" xfId="0" applyNumberFormat="1" applyFont="1" applyFill="1" applyBorder="1" applyAlignment="1" applyProtection="1">
      <alignment horizontal="right"/>
      <protection/>
    </xf>
    <xf numFmtId="41" fontId="19" fillId="34" borderId="31" xfId="0" applyNumberFormat="1" applyFont="1" applyFill="1" applyBorder="1" applyAlignment="1" applyProtection="1">
      <alignment horizontal="right"/>
      <protection locked="0"/>
    </xf>
    <xf numFmtId="177" fontId="0" fillId="36" borderId="14" xfId="48" applyNumberFormat="1" applyFont="1" applyFill="1" applyBorder="1" applyAlignment="1">
      <alignment/>
    </xf>
    <xf numFmtId="177" fontId="12" fillId="36" borderId="14" xfId="48" applyNumberFormat="1" applyFont="1" applyFill="1" applyBorder="1" applyAlignment="1">
      <alignment/>
    </xf>
    <xf numFmtId="177" fontId="0" fillId="36" borderId="14" xfId="48" applyNumberFormat="1" applyFont="1" applyFill="1" applyBorder="1" applyAlignment="1">
      <alignment/>
    </xf>
    <xf numFmtId="177" fontId="92" fillId="36" borderId="14" xfId="48" applyNumberFormat="1" applyFont="1" applyFill="1" applyBorder="1" applyAlignment="1">
      <alignment/>
    </xf>
    <xf numFmtId="177" fontId="12" fillId="36" borderId="17" xfId="48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91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0" fontId="18" fillId="33" borderId="30" xfId="0" applyNumberFormat="1" applyFont="1" applyFill="1" applyBorder="1" applyAlignment="1" applyProtection="1">
      <alignment horizontal="right"/>
      <protection locked="0"/>
    </xf>
    <xf numFmtId="10" fontId="18" fillId="33" borderId="19" xfId="0" applyNumberFormat="1" applyFont="1" applyFill="1" applyBorder="1" applyAlignment="1" applyProtection="1">
      <alignment horizontal="right"/>
      <protection locked="0"/>
    </xf>
    <xf numFmtId="10" fontId="18" fillId="33" borderId="14" xfId="0" applyNumberFormat="1" applyFont="1" applyFill="1" applyBorder="1" applyAlignment="1" applyProtection="1">
      <alignment horizontal="right"/>
      <protection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7" fontId="12" fillId="0" borderId="15" xfId="48" applyNumberFormat="1" applyFont="1" applyFill="1" applyBorder="1" applyAlignment="1">
      <alignment/>
    </xf>
    <xf numFmtId="177" fontId="0" fillId="33" borderId="14" xfId="48" applyNumberFormat="1" applyFon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2" borderId="21" xfId="0" applyFill="1" applyBorder="1" applyAlignment="1">
      <alignment/>
    </xf>
    <xf numFmtId="177" fontId="0" fillId="32" borderId="21" xfId="48" applyNumberFormat="1" applyFont="1" applyFill="1" applyBorder="1" applyAlignment="1">
      <alignment/>
    </xf>
    <xf numFmtId="177" fontId="0" fillId="32" borderId="33" xfId="48" applyNumberFormat="1" applyFont="1" applyFill="1" applyBorder="1" applyAlignment="1">
      <alignment/>
    </xf>
    <xf numFmtId="177" fontId="12" fillId="32" borderId="21" xfId="48" applyNumberFormat="1" applyFont="1" applyFill="1" applyBorder="1" applyAlignment="1">
      <alignment/>
    </xf>
    <xf numFmtId="177" fontId="12" fillId="32" borderId="34" xfId="48" applyNumberFormat="1" applyFont="1" applyFill="1" applyBorder="1" applyAlignment="1">
      <alignment/>
    </xf>
    <xf numFmtId="0" fontId="93" fillId="38" borderId="0" xfId="0" applyFont="1" applyFill="1" applyAlignment="1">
      <alignment/>
    </xf>
    <xf numFmtId="0" fontId="0" fillId="36" borderId="14" xfId="0" applyFill="1" applyBorder="1" applyAlignment="1">
      <alignment/>
    </xf>
    <xf numFmtId="177" fontId="90" fillId="34" borderId="21" xfId="48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wrapText="1"/>
    </xf>
    <xf numFmtId="9" fontId="11" fillId="0" borderId="11" xfId="54" applyFont="1" applyBorder="1" applyAlignment="1">
      <alignment wrapText="1"/>
    </xf>
    <xf numFmtId="0" fontId="0" fillId="0" borderId="14" xfId="0" applyBorder="1" applyAlignment="1">
      <alignment wrapText="1"/>
    </xf>
    <xf numFmtId="0" fontId="12" fillId="39" borderId="35" xfId="0" applyFont="1" applyFill="1" applyBorder="1" applyAlignment="1">
      <alignment horizontal="center"/>
    </xf>
    <xf numFmtId="0" fontId="12" fillId="40" borderId="16" xfId="0" applyFont="1" applyFill="1" applyBorder="1" applyAlignment="1">
      <alignment horizontal="center"/>
    </xf>
    <xf numFmtId="0" fontId="12" fillId="40" borderId="17" xfId="0" applyFont="1" applyFill="1" applyBorder="1" applyAlignment="1">
      <alignment horizontal="center"/>
    </xf>
    <xf numFmtId="0" fontId="12" fillId="40" borderId="34" xfId="0" applyFont="1" applyFill="1" applyBorder="1" applyAlignment="1">
      <alignment horizontal="center"/>
    </xf>
    <xf numFmtId="0" fontId="12" fillId="4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0" borderId="15" xfId="48" applyNumberFormat="1" applyFont="1" applyFill="1" applyBorder="1" applyAlignment="1">
      <alignment/>
    </xf>
    <xf numFmtId="177" fontId="0" fillId="0" borderId="14" xfId="48" applyNumberFormat="1" applyFont="1" applyFill="1" applyBorder="1" applyAlignment="1">
      <alignment/>
    </xf>
    <xf numFmtId="177" fontId="0" fillId="0" borderId="21" xfId="48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177" fontId="12" fillId="41" borderId="14" xfId="48" applyNumberFormat="1" applyFont="1" applyFill="1" applyBorder="1" applyAlignment="1">
      <alignment/>
    </xf>
    <xf numFmtId="37" fontId="14" fillId="40" borderId="30" xfId="0" applyNumberFormat="1" applyFont="1" applyFill="1" applyBorder="1" applyAlignment="1" applyProtection="1">
      <alignment horizontal="center"/>
      <protection/>
    </xf>
    <xf numFmtId="0" fontId="13" fillId="40" borderId="30" xfId="0" applyFont="1" applyFill="1" applyBorder="1" applyAlignment="1">
      <alignment wrapText="1"/>
    </xf>
    <xf numFmtId="9" fontId="13" fillId="40" borderId="30" xfId="54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3" fillId="39" borderId="40" xfId="0" applyFont="1" applyFill="1" applyBorder="1" applyAlignment="1">
      <alignment horizontal="center"/>
    </xf>
    <xf numFmtId="37" fontId="14" fillId="40" borderId="13" xfId="0" applyNumberFormat="1" applyFont="1" applyFill="1" applyBorder="1" applyAlignment="1" applyProtection="1" quotePrefix="1">
      <alignment horizontal="left"/>
      <protection/>
    </xf>
    <xf numFmtId="41" fontId="15" fillId="40" borderId="13" xfId="0" applyNumberFormat="1" applyFont="1" applyFill="1" applyBorder="1" applyAlignment="1" applyProtection="1">
      <alignment horizontal="right"/>
      <protection/>
    </xf>
    <xf numFmtId="37" fontId="19" fillId="0" borderId="13" xfId="0" applyNumberFormat="1" applyFont="1" applyFill="1" applyBorder="1" applyAlignment="1" applyProtection="1">
      <alignment horizontal="left"/>
      <protection/>
    </xf>
    <xf numFmtId="41" fontId="19" fillId="0" borderId="13" xfId="0" applyNumberFormat="1" applyFont="1" applyFill="1" applyBorder="1" applyAlignment="1" applyProtection="1">
      <alignment horizontal="right"/>
      <protection/>
    </xf>
    <xf numFmtId="41" fontId="19" fillId="33" borderId="13" xfId="0" applyNumberFormat="1" applyFont="1" applyFill="1" applyBorder="1" applyAlignment="1" applyProtection="1">
      <alignment horizontal="right"/>
      <protection/>
    </xf>
    <xf numFmtId="41" fontId="19" fillId="34" borderId="13" xfId="0" applyNumberFormat="1" applyFont="1" applyFill="1" applyBorder="1" applyAlignment="1" applyProtection="1">
      <alignment horizontal="right"/>
      <protection/>
    </xf>
    <xf numFmtId="41" fontId="19" fillId="32" borderId="13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2" borderId="39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77" fontId="0" fillId="42" borderId="14" xfId="48" applyNumberFormat="1" applyFont="1" applyFill="1" applyBorder="1" applyAlignment="1">
      <alignment/>
    </xf>
    <xf numFmtId="177" fontId="12" fillId="42" borderId="14" xfId="48" applyNumberFormat="1" applyFont="1" applyFill="1" applyBorder="1" applyAlignment="1">
      <alignment/>
    </xf>
    <xf numFmtId="0" fontId="0" fillId="42" borderId="41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177" fontId="0" fillId="42" borderId="21" xfId="48" applyNumberFormat="1" applyFont="1" applyFill="1" applyBorder="1" applyAlignment="1">
      <alignment/>
    </xf>
    <xf numFmtId="177" fontId="12" fillId="42" borderId="21" xfId="48" applyNumberFormat="1" applyFont="1" applyFill="1" applyBorder="1" applyAlignment="1">
      <alignment/>
    </xf>
    <xf numFmtId="0" fontId="92" fillId="41" borderId="37" xfId="0" applyFont="1" applyFill="1" applyBorder="1" applyAlignment="1">
      <alignment/>
    </xf>
    <xf numFmtId="177" fontId="92" fillId="41" borderId="16" xfId="48" applyNumberFormat="1" applyFont="1" applyFill="1" applyBorder="1" applyAlignment="1">
      <alignment/>
    </xf>
    <xf numFmtId="177" fontId="92" fillId="41" borderId="17" xfId="48" applyNumberFormat="1" applyFont="1" applyFill="1" applyBorder="1" applyAlignment="1">
      <alignment/>
    </xf>
    <xf numFmtId="177" fontId="92" fillId="41" borderId="34" xfId="48" applyNumberFormat="1" applyFont="1" applyFill="1" applyBorder="1" applyAlignment="1">
      <alignment/>
    </xf>
    <xf numFmtId="0" fontId="90" fillId="41" borderId="26" xfId="0" applyFont="1" applyFill="1" applyBorder="1" applyAlignment="1">
      <alignment/>
    </xf>
    <xf numFmtId="177" fontId="90" fillId="41" borderId="15" xfId="48" applyNumberFormat="1" applyFont="1" applyFill="1" applyBorder="1" applyAlignment="1">
      <alignment/>
    </xf>
    <xf numFmtId="177" fontId="90" fillId="41" borderId="14" xfId="48" applyNumberFormat="1" applyFont="1" applyFill="1" applyBorder="1" applyAlignment="1">
      <alignment/>
    </xf>
    <xf numFmtId="177" fontId="90" fillId="41" borderId="21" xfId="48" applyNumberFormat="1" applyFont="1" applyFill="1" applyBorder="1" applyAlignment="1">
      <alignment/>
    </xf>
    <xf numFmtId="0" fontId="12" fillId="39" borderId="26" xfId="0" applyFont="1" applyFill="1" applyBorder="1" applyAlignment="1">
      <alignment/>
    </xf>
    <xf numFmtId="177" fontId="12" fillId="39" borderId="15" xfId="48" applyNumberFormat="1" applyFont="1" applyFill="1" applyBorder="1" applyAlignment="1">
      <alignment/>
    </xf>
    <xf numFmtId="177" fontId="12" fillId="39" borderId="14" xfId="48" applyNumberFormat="1" applyFont="1" applyFill="1" applyBorder="1" applyAlignment="1">
      <alignment/>
    </xf>
    <xf numFmtId="177" fontId="12" fillId="39" borderId="21" xfId="48" applyNumberFormat="1" applyFont="1" applyFill="1" applyBorder="1" applyAlignment="1">
      <alignment/>
    </xf>
    <xf numFmtId="37" fontId="14" fillId="41" borderId="42" xfId="0" applyNumberFormat="1" applyFont="1" applyFill="1" applyBorder="1" applyAlignment="1" applyProtection="1">
      <alignment horizontal="center"/>
      <protection/>
    </xf>
    <xf numFmtId="37" fontId="14" fillId="41" borderId="17" xfId="0" applyNumberFormat="1" applyFont="1" applyFill="1" applyBorder="1" applyAlignment="1" applyProtection="1">
      <alignment horizontal="center"/>
      <protection/>
    </xf>
    <xf numFmtId="0" fontId="12" fillId="39" borderId="38" xfId="0" applyFont="1" applyFill="1" applyBorder="1" applyAlignment="1">
      <alignment horizontal="center"/>
    </xf>
    <xf numFmtId="0" fontId="0" fillId="39" borderId="16" xfId="0" applyFill="1" applyBorder="1" applyAlignment="1">
      <alignment/>
    </xf>
    <xf numFmtId="0" fontId="12" fillId="41" borderId="14" xfId="0" applyFont="1" applyFill="1" applyBorder="1" applyAlignment="1">
      <alignment horizontal="center"/>
    </xf>
    <xf numFmtId="0" fontId="12" fillId="41" borderId="19" xfId="0" applyFont="1" applyFill="1" applyBorder="1" applyAlignment="1">
      <alignment horizontal="center"/>
    </xf>
    <xf numFmtId="41" fontId="18" fillId="34" borderId="14" xfId="0" applyNumberFormat="1" applyFont="1" applyFill="1" applyBorder="1" applyAlignment="1" applyProtection="1">
      <alignment horizontal="right"/>
      <protection/>
    </xf>
    <xf numFmtId="41" fontId="18" fillId="0" borderId="14" xfId="0" applyNumberFormat="1" applyFont="1" applyFill="1" applyBorder="1" applyAlignment="1" applyProtection="1">
      <alignment horizontal="right"/>
      <protection/>
    </xf>
    <xf numFmtId="0" fontId="12" fillId="41" borderId="22" xfId="0" applyFont="1" applyFill="1" applyBorder="1" applyAlignment="1">
      <alignment horizontal="center"/>
    </xf>
    <xf numFmtId="0" fontId="12" fillId="41" borderId="43" xfId="0" applyFont="1" applyFill="1" applyBorder="1" applyAlignment="1">
      <alignment horizontal="center"/>
    </xf>
    <xf numFmtId="177" fontId="0" fillId="33" borderId="23" xfId="48" applyNumberFormat="1" applyFont="1" applyFill="1" applyBorder="1" applyAlignment="1">
      <alignment/>
    </xf>
    <xf numFmtId="9" fontId="0" fillId="0" borderId="0" xfId="54" applyFont="1" applyAlignment="1">
      <alignment/>
    </xf>
    <xf numFmtId="0" fontId="13" fillId="39" borderId="44" xfId="0" applyFont="1" applyFill="1" applyBorder="1" applyAlignment="1">
      <alignment horizontal="center" vertical="center" wrapText="1"/>
    </xf>
    <xf numFmtId="0" fontId="13" fillId="39" borderId="45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49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 quotePrefix="1">
      <alignment horizontal="center"/>
      <protection/>
    </xf>
    <xf numFmtId="37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 quotePrefix="1">
      <alignment horizontal="center"/>
      <protection/>
    </xf>
    <xf numFmtId="0" fontId="13" fillId="0" borderId="50" xfId="0" applyFont="1" applyFill="1" applyBorder="1" applyAlignment="1">
      <alignment horizontal="left"/>
    </xf>
    <xf numFmtId="37" fontId="14" fillId="39" borderId="44" xfId="0" applyNumberFormat="1" applyFont="1" applyFill="1" applyBorder="1" applyAlignment="1" applyProtection="1">
      <alignment horizontal="center" vertical="center"/>
      <protection/>
    </xf>
    <xf numFmtId="37" fontId="14" fillId="39" borderId="45" xfId="0" applyNumberFormat="1" applyFont="1" applyFill="1" applyBorder="1" applyAlignment="1" applyProtection="1">
      <alignment horizontal="center" vertical="center"/>
      <protection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51" xfId="0" applyFont="1" applyFill="1" applyBorder="1" applyAlignment="1">
      <alignment horizontal="center" vertical="center" wrapText="1"/>
    </xf>
    <xf numFmtId="0" fontId="13" fillId="39" borderId="52" xfId="0" applyFont="1" applyFill="1" applyBorder="1" applyAlignment="1">
      <alignment horizontal="center" vertical="center" wrapText="1"/>
    </xf>
    <xf numFmtId="37" fontId="14" fillId="39" borderId="10" xfId="0" applyNumberFormat="1" applyFont="1" applyFill="1" applyBorder="1" applyAlignment="1" applyProtection="1">
      <alignment horizontal="center" vertical="center"/>
      <protection/>
    </xf>
    <xf numFmtId="37" fontId="17" fillId="39" borderId="10" xfId="0" applyNumberFormat="1" applyFont="1" applyFill="1" applyBorder="1" applyAlignment="1" applyProtection="1">
      <alignment horizontal="center" vertical="center" textRotation="1"/>
      <protection/>
    </xf>
    <xf numFmtId="0" fontId="23" fillId="39" borderId="10" xfId="0" applyFont="1" applyFill="1" applyBorder="1" applyAlignment="1">
      <alignment horizontal="center" vertical="center" wrapText="1"/>
    </xf>
    <xf numFmtId="0" fontId="23" fillId="39" borderId="51" xfId="0" applyFont="1" applyFill="1" applyBorder="1" applyAlignment="1">
      <alignment horizontal="center" vertical="center" wrapText="1"/>
    </xf>
    <xf numFmtId="0" fontId="23" fillId="39" borderId="52" xfId="0" applyFont="1" applyFill="1" applyBorder="1" applyAlignment="1">
      <alignment horizontal="center" vertical="center" wrapText="1"/>
    </xf>
    <xf numFmtId="37" fontId="14" fillId="39" borderId="51" xfId="0" applyNumberFormat="1" applyFont="1" applyFill="1" applyBorder="1" applyAlignment="1" applyProtection="1">
      <alignment horizontal="center" vertical="center"/>
      <protection/>
    </xf>
    <xf numFmtId="37" fontId="14" fillId="39" borderId="52" xfId="0" applyNumberFormat="1" applyFont="1" applyFill="1" applyBorder="1" applyAlignment="1" applyProtection="1">
      <alignment horizontal="center" vertical="center"/>
      <protection/>
    </xf>
    <xf numFmtId="0" fontId="12" fillId="39" borderId="35" xfId="0" applyFont="1" applyFill="1" applyBorder="1" applyAlignment="1">
      <alignment horizontal="center" vertical="center" wrapText="1"/>
    </xf>
    <xf numFmtId="0" fontId="12" fillId="39" borderId="53" xfId="0" applyFont="1" applyFill="1" applyBorder="1" applyAlignment="1">
      <alignment horizontal="center" vertical="center" wrapText="1"/>
    </xf>
    <xf numFmtId="0" fontId="12" fillId="39" borderId="54" xfId="0" applyFont="1" applyFill="1" applyBorder="1" applyAlignment="1">
      <alignment horizontal="center" vertical="center" wrapText="1"/>
    </xf>
    <xf numFmtId="0" fontId="12" fillId="39" borderId="55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51" xfId="0" applyFont="1" applyFill="1" applyBorder="1" applyAlignment="1">
      <alignment horizontal="center" vertical="center" wrapText="1"/>
    </xf>
    <xf numFmtId="0" fontId="12" fillId="39" borderId="52" xfId="0" applyFont="1" applyFill="1" applyBorder="1" applyAlignment="1">
      <alignment horizontal="center" vertical="center" wrapText="1"/>
    </xf>
    <xf numFmtId="37" fontId="14" fillId="39" borderId="35" xfId="0" applyNumberFormat="1" applyFont="1" applyFill="1" applyBorder="1" applyAlignment="1" applyProtection="1">
      <alignment horizontal="center" vertical="center"/>
      <protection/>
    </xf>
    <xf numFmtId="37" fontId="17" fillId="39" borderId="16" xfId="0" applyNumberFormat="1" applyFont="1" applyFill="1" applyBorder="1" applyAlignment="1" applyProtection="1">
      <alignment horizontal="center" vertical="center" textRotation="1"/>
      <protection/>
    </xf>
    <xf numFmtId="0" fontId="13" fillId="39" borderId="10" xfId="0" applyFont="1" applyFill="1" applyBorder="1" applyAlignment="1">
      <alignment horizontal="center"/>
    </xf>
    <xf numFmtId="0" fontId="13" fillId="39" borderId="51" xfId="0" applyFont="1" applyFill="1" applyBorder="1" applyAlignment="1">
      <alignment horizontal="center"/>
    </xf>
    <xf numFmtId="0" fontId="13" fillId="39" borderId="52" xfId="0" applyFont="1" applyFill="1" applyBorder="1" applyAlignment="1">
      <alignment horizontal="center"/>
    </xf>
    <xf numFmtId="0" fontId="23" fillId="39" borderId="55" xfId="0" applyFont="1" applyFill="1" applyBorder="1" applyAlignment="1">
      <alignment horizontal="center" vertical="center" wrapText="1"/>
    </xf>
    <xf numFmtId="0" fontId="23" fillId="39" borderId="53" xfId="0" applyFont="1" applyFill="1" applyBorder="1" applyAlignment="1">
      <alignment horizontal="center" vertical="center" wrapText="1"/>
    </xf>
    <xf numFmtId="0" fontId="23" fillId="39" borderId="54" xfId="0" applyFont="1" applyFill="1" applyBorder="1" applyAlignment="1">
      <alignment horizontal="center" vertical="center" wrapText="1"/>
    </xf>
    <xf numFmtId="0" fontId="12" fillId="39" borderId="55" xfId="0" applyFont="1" applyFill="1" applyBorder="1" applyAlignment="1">
      <alignment horizontal="center"/>
    </xf>
    <xf numFmtId="0" fontId="12" fillId="39" borderId="53" xfId="0" applyFont="1" applyFill="1" applyBorder="1" applyAlignment="1">
      <alignment horizontal="center"/>
    </xf>
    <xf numFmtId="0" fontId="12" fillId="39" borderId="54" xfId="0" applyFont="1" applyFill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7" fontId="14" fillId="39" borderId="38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177" fontId="17" fillId="0" borderId="28" xfId="48" applyNumberFormat="1" applyFont="1" applyFill="1" applyBorder="1" applyAlignment="1" applyProtection="1">
      <alignment horizontal="left"/>
      <protection/>
    </xf>
    <xf numFmtId="10" fontId="17" fillId="0" borderId="23" xfId="0" applyNumberFormat="1" applyFont="1" applyFill="1" applyBorder="1" applyAlignment="1" applyProtection="1">
      <alignment horizontal="right"/>
      <protection/>
    </xf>
    <xf numFmtId="10" fontId="17" fillId="36" borderId="23" xfId="0" applyNumberFormat="1" applyFont="1" applyFill="1" applyBorder="1" applyAlignment="1" applyProtection="1">
      <alignment horizontal="right"/>
      <protection/>
    </xf>
    <xf numFmtId="10" fontId="17" fillId="33" borderId="23" xfId="0" applyNumberFormat="1" applyFont="1" applyFill="1" applyBorder="1" applyAlignment="1" applyProtection="1">
      <alignment horizontal="right"/>
      <protection/>
    </xf>
    <xf numFmtId="10" fontId="17" fillId="0" borderId="56" xfId="0" applyNumberFormat="1" applyFont="1" applyFill="1" applyBorder="1" applyAlignment="1" applyProtection="1">
      <alignment horizontal="right"/>
      <protection/>
    </xf>
    <xf numFmtId="10" fontId="17" fillId="36" borderId="56" xfId="0" applyNumberFormat="1" applyFont="1" applyFill="1" applyBorder="1" applyAlignment="1" applyProtection="1">
      <alignment horizontal="right"/>
      <protection/>
    </xf>
    <xf numFmtId="10" fontId="17" fillId="33" borderId="56" xfId="0" applyNumberFormat="1" applyFont="1" applyFill="1" applyBorder="1" applyAlignment="1" applyProtection="1">
      <alignment horizontal="right"/>
      <protection/>
    </xf>
    <xf numFmtId="10" fontId="17" fillId="0" borderId="30" xfId="0" applyNumberFormat="1" applyFont="1" applyFill="1" applyBorder="1" applyAlignment="1" applyProtection="1">
      <alignment horizontal="right"/>
      <protection locked="0"/>
    </xf>
    <xf numFmtId="10" fontId="17" fillId="36" borderId="30" xfId="0" applyNumberFormat="1" applyFont="1" applyFill="1" applyBorder="1" applyAlignment="1" applyProtection="1">
      <alignment horizontal="right"/>
      <protection locked="0"/>
    </xf>
    <xf numFmtId="10" fontId="17" fillId="33" borderId="30" xfId="0" applyNumberFormat="1" applyFont="1" applyFill="1" applyBorder="1" applyAlignment="1" applyProtection="1">
      <alignment horizontal="right"/>
      <protection locked="0"/>
    </xf>
    <xf numFmtId="10" fontId="17" fillId="0" borderId="19" xfId="0" applyNumberFormat="1" applyFont="1" applyFill="1" applyBorder="1" applyAlignment="1" applyProtection="1">
      <alignment horizontal="right"/>
      <protection/>
    </xf>
    <xf numFmtId="10" fontId="17" fillId="36" borderId="19" xfId="0" applyNumberFormat="1" applyFont="1" applyFill="1" applyBorder="1" applyAlignment="1" applyProtection="1">
      <alignment horizontal="right"/>
      <protection/>
    </xf>
    <xf numFmtId="10" fontId="17" fillId="33" borderId="19" xfId="0" applyNumberFormat="1" applyFont="1" applyFill="1" applyBorder="1" applyAlignment="1" applyProtection="1">
      <alignment horizontal="right"/>
      <protection/>
    </xf>
    <xf numFmtId="10" fontId="17" fillId="0" borderId="14" xfId="0" applyNumberFormat="1" applyFont="1" applyFill="1" applyBorder="1" applyAlignment="1" applyProtection="1">
      <alignment horizontal="right"/>
      <protection/>
    </xf>
    <xf numFmtId="10" fontId="17" fillId="36" borderId="14" xfId="0" applyNumberFormat="1" applyFont="1" applyFill="1" applyBorder="1" applyAlignment="1" applyProtection="1">
      <alignment horizontal="right"/>
      <protection/>
    </xf>
    <xf numFmtId="10" fontId="17" fillId="33" borderId="14" xfId="0" applyNumberFormat="1" applyFont="1" applyFill="1" applyBorder="1" applyAlignment="1" applyProtection="1">
      <alignment horizontal="right"/>
      <protection/>
    </xf>
    <xf numFmtId="41" fontId="17" fillId="0" borderId="14" xfId="0" applyNumberFormat="1" applyFont="1" applyFill="1" applyBorder="1" applyAlignment="1">
      <alignment horizontal="right"/>
    </xf>
    <xf numFmtId="41" fontId="17" fillId="36" borderId="14" xfId="0" applyNumberFormat="1" applyFont="1" applyFill="1" applyBorder="1" applyAlignment="1">
      <alignment horizontal="right"/>
    </xf>
    <xf numFmtId="41" fontId="17" fillId="33" borderId="14" xfId="0" applyNumberFormat="1" applyFont="1" applyFill="1" applyBorder="1" applyAlignment="1">
      <alignment horizontal="right"/>
    </xf>
    <xf numFmtId="41" fontId="17" fillId="0" borderId="17" xfId="0" applyNumberFormat="1" applyFont="1" applyFill="1" applyBorder="1" applyAlignment="1" applyProtection="1">
      <alignment horizontal="right"/>
      <protection/>
    </xf>
    <xf numFmtId="41" fontId="17" fillId="36" borderId="17" xfId="0" applyNumberFormat="1" applyFont="1" applyFill="1" applyBorder="1" applyAlignment="1" applyProtection="1">
      <alignment horizontal="right"/>
      <protection/>
    </xf>
    <xf numFmtId="41" fontId="17" fillId="33" borderId="17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PORCENTEJE DE PARTICIPACION EMPRESAS ACTIVIDADES CONEXAS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A2FF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1'!#REF!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6B8EB2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Vs EGRESOS AVIACION CIVIL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hape val="cone"/>
        <c:axId val="61323370"/>
        <c:axId val="15039419"/>
      </c:bar3D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99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9999FF"/>
            </a:gs>
            <a:gs pos="100000">
              <a:srgbClr val="D7D7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7D7FF"/>
            </a:gs>
            <a:gs pos="50000">
              <a:srgbClr val="9999FF"/>
            </a:gs>
            <a:gs pos="100000">
              <a:srgbClr val="D7D7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7D7FF"/>
            </a:gs>
            <a:gs pos="50000">
              <a:srgbClr val="9999FF"/>
            </a:gs>
            <a:gs pos="100000">
              <a:srgbClr val="D7D7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A2A2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laid">
              <a:fgClr>
                <a:srgbClr val="008080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37044"/>
        <c:axId val="10233397"/>
      </c:bar3D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5">
              <a:fgClr>
                <a:srgbClr val="FF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4991710"/>
        <c:axId val="23598799"/>
      </c:bar3D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9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062600"/>
        <c:axId val="32454537"/>
      </c:bar3D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3655378"/>
        <c:axId val="11571811"/>
      </c:bar3D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Vs EGRESOS ACTIVIDADES CONEXAS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hape val="cone"/>
        <c:axId val="37037436"/>
        <c:axId val="64901469"/>
      </c:bar3D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SITUACION FINANCIERA DE LAS EMPRESAS DE ACTIVIDADES CONEXAS AÑO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7242310"/>
        <c:axId val="22527607"/>
      </c:bar3D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
 AÑOS 2008 VS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45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30.63%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30.50%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26.96%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421872"/>
        <c:axId val="12796849"/>
      </c:bar3DChart>
      <c:catAx>
        <c:axId val="1421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INGRESOS VS GASTOS
TRABAJOS AEREOS ESPECIALES
2008 - 2009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2'!#REF!,'Cuadro 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2'!#REF!,'Cuadro 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('Cuadro 2'!#REF!,'Cuadro 2'!#REF!)</c:f>
              <c:numCache>
                <c:ptCount val="1"/>
                <c:pt idx="0">
                  <c:v>1</c:v>
                </c:pt>
              </c:numCache>
            </c:numRef>
          </c:val>
        </c:ser>
        <c:gapWidth val="500"/>
        <c:axId val="48062778"/>
        <c:axId val="29911819"/>
      </c:barChart>
      <c:catAx>
        <c:axId val="48062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  <c:majorUnit val="9000000"/>
        <c:minorUnit val="3000000"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INDICADORES FINANCIEROS DE ACTIVIDADES CONEXAS AÑO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770916"/>
        <c:axId val="6938245"/>
      </c:bar3DChart>
      <c:catAx>
        <c:axId val="770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EN EL ENVIO DE LA INFORMACION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50000">
                  <a:srgbClr val="8B4646"/>
                </a:gs>
                <a:gs pos="100000">
                  <a:srgbClr val="FF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1'!#REF!</c:f>
              <c:numCache>
                <c:ptCount val="1"/>
                <c:pt idx="0">
                  <c:v>1</c:v>
                </c:pt>
              </c:numCache>
            </c:numRef>
          </c:val>
        </c:ser>
        <c:axId val="46769422"/>
        <c:axId val="18271615"/>
      </c:bar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MODALIDAD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CUMPLIMIENTO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At val="1"/>
        <c:crossBetween val="between"/>
        <c:dispUnits/>
      </c:valAx>
      <c:spPr>
        <a:gradFill rotWithShape="1">
          <a:gsLst>
            <a:gs pos="0">
              <a:srgbClr val="993366"/>
            </a:gs>
            <a:gs pos="100000">
              <a:srgbClr val="EDDAE3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3366"/>
        </a:gs>
        <a:gs pos="100000">
          <a:srgbClr val="E6CDD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PORCENTEJE DE PARTICIPACION EMPRESAS ACTIVIDADES CONEXAS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A2FF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1'!#REF!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EN EL ENVIO DE LA INFORMACION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50000">
                  <a:srgbClr val="8B4646"/>
                </a:gs>
                <a:gs pos="100000">
                  <a:srgbClr val="FF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1'!#REF!</c:f>
              <c:numCache>
                <c:ptCount val="1"/>
                <c:pt idx="0">
                  <c:v>1</c:v>
                </c:pt>
              </c:numCache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CUMPLIMIENTO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CONTRIBUCION DE LOS INGRESOS DE LAS ACTIVIDADES CONEXAS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60076"/>
                  </a:gs>
                  <a:gs pos="100000">
                    <a:srgbClr val="FF00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horzBrick">
              <a:fgClr>
                <a:srgbClr val="9999FF"/>
              </a:fgClr>
              <a:bgClr>
                <a:srgbClr val="FF99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2452354"/>
        <c:axId val="23635731"/>
      </c:bar3D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B3E0E0"/>
        </a:gs>
        <a:gs pos="100000">
          <a:srgbClr val="CC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5">
              <a:fgClr>
                <a:srgbClr val="FF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394988"/>
        <c:axId val="35446029"/>
      </c:bar3D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96E5E5"/>
            </a:gs>
            <a:gs pos="100000">
              <a:srgbClr val="33CCCC"/>
            </a:gs>
          </a:gsLst>
          <a:lin ang="189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BBEEEE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BBEEEE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AFEBEB"/>
        </a:gs>
        <a:gs pos="100000">
          <a:srgbClr val="33CC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9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0578806"/>
        <c:axId val="52556071"/>
      </c:bar3D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99CC"/>
            </a:gs>
            <a:gs pos="100000">
              <a:srgbClr val="FFC4E2"/>
            </a:gs>
          </a:gsLst>
          <a:path path="rect">
            <a:fillToRect t="100000" r="100000"/>
          </a:path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CC"/>
            </a:gs>
            <a:gs pos="100000">
              <a:srgbClr val="FFD1E8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CC"/>
            </a:gs>
            <a:gs pos="100000">
              <a:srgbClr val="FFD1E8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E0F0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242592"/>
        <c:axId val="29183329"/>
      </c:bar3D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59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CC00"/>
            </a:gs>
            <a:gs pos="100000">
              <a:srgbClr val="FFEEAA"/>
            </a:gs>
          </a:gsLst>
          <a:path path="rect">
            <a:fillToRect l="100000" t="100000"/>
          </a:path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ECA2"/>
            </a:gs>
            <a:gs pos="50000">
              <a:srgbClr val="FFCC00"/>
            </a:gs>
            <a:gs pos="100000">
              <a:srgbClr val="FFECA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ECA2"/>
            </a:gs>
            <a:gs pos="50000">
              <a:srgbClr val="FFCC00"/>
            </a:gs>
            <a:gs pos="100000">
              <a:srgbClr val="FFECA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50000">
          <a:srgbClr val="FFF0B2"/>
        </a:gs>
        <a:gs pos="100000">
          <a:srgbClr val="FFCC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8</xdr:col>
      <xdr:colOff>742950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2276475" y="0"/>
        <a:ext cx="390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7</xdr:col>
      <xdr:colOff>742950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1666875" y="0"/>
        <a:ext cx="3752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3" name="Chart 11"/>
        <xdr:cNvGraphicFramePr/>
      </xdr:nvGraphicFramePr>
      <xdr:xfrm>
        <a:off x="1504950" y="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295275</xdr:colOff>
      <xdr:row>0</xdr:row>
      <xdr:rowOff>0</xdr:rowOff>
    </xdr:to>
    <xdr:graphicFrame>
      <xdr:nvGraphicFramePr>
        <xdr:cNvPr id="4" name="Chart 12"/>
        <xdr:cNvGraphicFramePr/>
      </xdr:nvGraphicFramePr>
      <xdr:xfrm>
        <a:off x="1504950" y="0"/>
        <a:ext cx="4229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38</xdr:row>
      <xdr:rowOff>0</xdr:rowOff>
    </xdr:from>
    <xdr:to>
      <xdr:col>9</xdr:col>
      <xdr:colOff>133350</xdr:colOff>
      <xdr:row>38</xdr:row>
      <xdr:rowOff>0</xdr:rowOff>
    </xdr:to>
    <xdr:graphicFrame>
      <xdr:nvGraphicFramePr>
        <xdr:cNvPr id="1" name="Chart 8"/>
        <xdr:cNvGraphicFramePr/>
      </xdr:nvGraphicFramePr>
      <xdr:xfrm>
        <a:off x="5543550" y="7124700"/>
        <a:ext cx="377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2" name="Chart 9"/>
        <xdr:cNvGraphicFramePr/>
      </xdr:nvGraphicFramePr>
      <xdr:xfrm>
        <a:off x="180975" y="7124700"/>
        <a:ext cx="3590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11</xdr:col>
      <xdr:colOff>0</xdr:colOff>
      <xdr:row>38</xdr:row>
      <xdr:rowOff>0</xdr:rowOff>
    </xdr:to>
    <xdr:graphicFrame>
      <xdr:nvGraphicFramePr>
        <xdr:cNvPr id="3" name="Chart 10"/>
        <xdr:cNvGraphicFramePr/>
      </xdr:nvGraphicFramePr>
      <xdr:xfrm>
        <a:off x="5543550" y="7124700"/>
        <a:ext cx="531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38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4" name="Chart 11"/>
        <xdr:cNvGraphicFramePr/>
      </xdr:nvGraphicFramePr>
      <xdr:xfrm>
        <a:off x="171450" y="7124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9</xdr:col>
      <xdr:colOff>895350</xdr:colOff>
      <xdr:row>38</xdr:row>
      <xdr:rowOff>0</xdr:rowOff>
    </xdr:to>
    <xdr:graphicFrame>
      <xdr:nvGraphicFramePr>
        <xdr:cNvPr id="5" name="Chart 13"/>
        <xdr:cNvGraphicFramePr/>
      </xdr:nvGraphicFramePr>
      <xdr:xfrm>
        <a:off x="5543550" y="7124700"/>
        <a:ext cx="4533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6" name="Chart 14"/>
        <xdr:cNvGraphicFramePr/>
      </xdr:nvGraphicFramePr>
      <xdr:xfrm>
        <a:off x="304800" y="7124700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7" name="Chart 15"/>
        <xdr:cNvGraphicFramePr/>
      </xdr:nvGraphicFramePr>
      <xdr:xfrm>
        <a:off x="0" y="7124700"/>
        <a:ext cx="3771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9</xdr:col>
      <xdr:colOff>476250</xdr:colOff>
      <xdr:row>38</xdr:row>
      <xdr:rowOff>0</xdr:rowOff>
    </xdr:to>
    <xdr:graphicFrame>
      <xdr:nvGraphicFramePr>
        <xdr:cNvPr id="8" name="Chart 16"/>
        <xdr:cNvGraphicFramePr/>
      </xdr:nvGraphicFramePr>
      <xdr:xfrm>
        <a:off x="5543550" y="7124700"/>
        <a:ext cx="4114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38</xdr:row>
      <xdr:rowOff>0</xdr:rowOff>
    </xdr:to>
    <xdr:graphicFrame>
      <xdr:nvGraphicFramePr>
        <xdr:cNvPr id="9" name="Chart 17"/>
        <xdr:cNvGraphicFramePr/>
      </xdr:nvGraphicFramePr>
      <xdr:xfrm>
        <a:off x="0" y="7124700"/>
        <a:ext cx="3771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9</xdr:col>
      <xdr:colOff>476250</xdr:colOff>
      <xdr:row>38</xdr:row>
      <xdr:rowOff>0</xdr:rowOff>
    </xdr:to>
    <xdr:graphicFrame>
      <xdr:nvGraphicFramePr>
        <xdr:cNvPr id="10" name="Chart 18"/>
        <xdr:cNvGraphicFramePr/>
      </xdr:nvGraphicFramePr>
      <xdr:xfrm>
        <a:off x="5543550" y="7124700"/>
        <a:ext cx="4114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638175</xdr:colOff>
      <xdr:row>38</xdr:row>
      <xdr:rowOff>0</xdr:rowOff>
    </xdr:from>
    <xdr:to>
      <xdr:col>9</xdr:col>
      <xdr:colOff>247650</xdr:colOff>
      <xdr:row>38</xdr:row>
      <xdr:rowOff>0</xdr:rowOff>
    </xdr:to>
    <xdr:graphicFrame>
      <xdr:nvGraphicFramePr>
        <xdr:cNvPr id="11" name="Chart 19"/>
        <xdr:cNvGraphicFramePr/>
      </xdr:nvGraphicFramePr>
      <xdr:xfrm>
        <a:off x="638175" y="7124700"/>
        <a:ext cx="8791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476250</xdr:colOff>
      <xdr:row>38</xdr:row>
      <xdr:rowOff>0</xdr:rowOff>
    </xdr:to>
    <xdr:graphicFrame>
      <xdr:nvGraphicFramePr>
        <xdr:cNvPr id="12" name="Chart 20"/>
        <xdr:cNvGraphicFramePr/>
      </xdr:nvGraphicFramePr>
      <xdr:xfrm>
        <a:off x="0" y="7124700"/>
        <a:ext cx="601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18</xdr:row>
      <xdr:rowOff>66675</xdr:rowOff>
    </xdr:to>
    <xdr:graphicFrame>
      <xdr:nvGraphicFramePr>
        <xdr:cNvPr id="13" name="Gráfico 3126"/>
        <xdr:cNvGraphicFramePr/>
      </xdr:nvGraphicFramePr>
      <xdr:xfrm>
        <a:off x="10858500" y="828675"/>
        <a:ext cx="0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38</xdr:row>
      <xdr:rowOff>0</xdr:rowOff>
    </xdr:to>
    <xdr:graphicFrame>
      <xdr:nvGraphicFramePr>
        <xdr:cNvPr id="14" name="Gráfico 3132"/>
        <xdr:cNvGraphicFramePr/>
      </xdr:nvGraphicFramePr>
      <xdr:xfrm>
        <a:off x="10858500" y="4676775"/>
        <a:ext cx="0" cy="2447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0</xdr:rowOff>
    </xdr:from>
    <xdr:to>
      <xdr:col>3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90500" y="474345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5" sqref="C15:D15"/>
    </sheetView>
  </sheetViews>
  <sheetFormatPr defaultColWidth="11.421875" defaultRowHeight="12.75"/>
  <cols>
    <col min="1" max="1" width="14.8515625" style="0" customWidth="1"/>
    <col min="2" max="2" width="7.7109375" style="0" customWidth="1"/>
    <col min="3" max="3" width="9.421875" style="0" customWidth="1"/>
    <col min="4" max="4" width="6.140625" style="0" customWidth="1"/>
    <col min="5" max="5" width="7.7109375" style="0" customWidth="1"/>
    <col min="6" max="6" width="12.8515625" style="0" bestFit="1" customWidth="1"/>
  </cols>
  <sheetData>
    <row r="1" spans="1:6" s="13" customFormat="1" ht="12.75">
      <c r="A1" s="169" t="s">
        <v>69</v>
      </c>
      <c r="B1" s="170"/>
      <c r="C1" s="170"/>
      <c r="D1" s="170"/>
      <c r="E1" s="170"/>
      <c r="F1" s="170"/>
    </row>
    <row r="2" spans="1:6" ht="14.25" customHeight="1">
      <c r="A2" s="171" t="s">
        <v>1</v>
      </c>
      <c r="B2" s="74"/>
      <c r="C2" s="74"/>
      <c r="D2" s="74"/>
      <c r="E2" s="74"/>
      <c r="F2" s="74"/>
    </row>
    <row r="3" spans="1:6" ht="15.75" customHeight="1">
      <c r="A3" s="169" t="s">
        <v>67</v>
      </c>
      <c r="B3" s="74"/>
      <c r="C3" s="74"/>
      <c r="D3" s="74"/>
      <c r="E3" s="74"/>
      <c r="F3" s="74"/>
    </row>
    <row r="4" spans="1:6" ht="27" customHeight="1" thickBot="1">
      <c r="A4" s="263" t="s">
        <v>126</v>
      </c>
      <c r="B4" s="263"/>
      <c r="C4" s="263"/>
      <c r="D4" s="263"/>
      <c r="E4" s="263"/>
      <c r="F4" s="263"/>
    </row>
    <row r="5" spans="1:6" ht="13.5" thickBot="1">
      <c r="A5" s="257" t="s">
        <v>3</v>
      </c>
      <c r="B5" s="259" t="s">
        <v>8</v>
      </c>
      <c r="C5" s="259"/>
      <c r="D5" s="260" t="s">
        <v>2</v>
      </c>
      <c r="E5" s="261"/>
      <c r="F5" s="262"/>
    </row>
    <row r="6" spans="1:6" ht="14.25" thickBot="1" thickTop="1">
      <c r="A6" s="258"/>
      <c r="B6" s="214" t="s">
        <v>66</v>
      </c>
      <c r="C6" s="214" t="s">
        <v>68</v>
      </c>
      <c r="D6" s="214" t="s">
        <v>7</v>
      </c>
      <c r="E6" s="214" t="s">
        <v>68</v>
      </c>
      <c r="F6" s="214" t="s">
        <v>73</v>
      </c>
    </row>
    <row r="7" spans="1:6" ht="21">
      <c r="A7" s="191" t="s">
        <v>160</v>
      </c>
      <c r="B7" s="212">
        <v>6</v>
      </c>
      <c r="C7" s="192">
        <f>+B7/B$9</f>
        <v>0.14285714285714285</v>
      </c>
      <c r="D7" s="213">
        <v>5</v>
      </c>
      <c r="E7" s="192">
        <f>D7/B7</f>
        <v>0.8333333333333334</v>
      </c>
      <c r="F7" s="192">
        <f>+D7/B7</f>
        <v>0.8333333333333334</v>
      </c>
    </row>
    <row r="8" spans="1:8" ht="21" thickBot="1">
      <c r="A8" s="191" t="s">
        <v>161</v>
      </c>
      <c r="B8" s="193">
        <v>36</v>
      </c>
      <c r="C8" s="192">
        <f>+B8/B$9</f>
        <v>0.8571428571428571</v>
      </c>
      <c r="D8" s="193">
        <v>29</v>
      </c>
      <c r="E8" s="192">
        <f>D8/B8</f>
        <v>0.8055555555555556</v>
      </c>
      <c r="F8" s="192">
        <f>+D8/B8</f>
        <v>0.8055555555555556</v>
      </c>
      <c r="H8" s="13"/>
    </row>
    <row r="9" spans="1:6" ht="24" customHeight="1" thickBot="1">
      <c r="A9" s="210" t="s">
        <v>9</v>
      </c>
      <c r="B9" s="210">
        <f>SUM(B7:B8)</f>
        <v>42</v>
      </c>
      <c r="C9" s="211">
        <f>+B9/B$9</f>
        <v>1</v>
      </c>
      <c r="D9" s="210">
        <f>SUM(D7:D8)</f>
        <v>34</v>
      </c>
      <c r="E9" s="211">
        <f>+D9/D$9</f>
        <v>1</v>
      </c>
      <c r="F9" s="211">
        <f>+D9/B9</f>
        <v>0.8095238095238095</v>
      </c>
    </row>
    <row r="10" ht="12.75">
      <c r="A10" s="100" t="s">
        <v>125</v>
      </c>
    </row>
    <row r="11" ht="12.75">
      <c r="A11" s="100"/>
    </row>
    <row r="12" ht="13.5" thickBot="1"/>
    <row r="13" spans="1:6" ht="45.75" customHeight="1" thickBot="1">
      <c r="A13" s="306" t="s">
        <v>162</v>
      </c>
      <c r="B13" s="307"/>
      <c r="C13" s="307"/>
      <c r="D13" s="307"/>
      <c r="E13" s="307"/>
      <c r="F13" s="308"/>
    </row>
    <row r="15" spans="2:6" ht="12.75">
      <c r="B15" s="170"/>
      <c r="C15" s="170"/>
      <c r="D15" s="170"/>
      <c r="E15" s="170"/>
      <c r="F15" s="170"/>
    </row>
    <row r="16" spans="1:6" ht="12.75">
      <c r="A16" s="171"/>
      <c r="B16" s="74"/>
      <c r="C16" s="74"/>
      <c r="D16" s="74"/>
      <c r="E16" s="74"/>
      <c r="F16" s="74"/>
    </row>
  </sheetData>
  <sheetProtection/>
  <mergeCells count="5">
    <mergeCell ref="A5:A6"/>
    <mergeCell ref="B5:C5"/>
    <mergeCell ref="D5:F5"/>
    <mergeCell ref="A4:F4"/>
    <mergeCell ref="A13:F13"/>
  </mergeCells>
  <printOptions horizontalCentered="1" verticalCentered="1"/>
  <pageMargins left="1.5748031496062993" right="0.7874015748031497" top="1.5748031496062993" bottom="0.7874015748031497" header="0" footer="0"/>
  <pageSetup horizontalDpi="600" verticalDpi="600" orientation="landscape" r:id="rId4"/>
  <drawing r:id="rId3"/>
  <legacyDrawing r:id="rId2"/>
  <oleObjects>
    <oleObject progId="MSPhotoEd.3" shapeId="47052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K39"/>
  <sheetViews>
    <sheetView zoomScalePageLayoutView="0" workbookViewId="0" topLeftCell="E1">
      <selection activeCell="J10" sqref="J10"/>
    </sheetView>
  </sheetViews>
  <sheetFormatPr defaultColWidth="11.421875" defaultRowHeight="12.75"/>
  <cols>
    <col min="1" max="1" width="31.28125" style="1" customWidth="1"/>
    <col min="2" max="2" width="12.00390625" style="1" bestFit="1" customWidth="1"/>
    <col min="3" max="5" width="13.28125" style="1" customWidth="1"/>
    <col min="6" max="6" width="13.8515625" style="1" customWidth="1"/>
    <col min="7" max="9" width="13.57421875" style="1" customWidth="1"/>
    <col min="10" max="10" width="13.421875" style="1" customWidth="1"/>
    <col min="11" max="11" width="11.7109375" style="1" customWidth="1"/>
    <col min="12" max="17" width="11.421875" style="1" customWidth="1"/>
    <col min="18" max="18" width="13.140625" style="1" customWidth="1"/>
    <col min="19" max="16384" width="11.421875" style="1" customWidth="1"/>
  </cols>
  <sheetData>
    <row r="1" spans="1:44" ht="12.75">
      <c r="A1" s="18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AQ1" s="21"/>
      <c r="AR1" s="21"/>
    </row>
    <row r="2" spans="1:44" ht="12.75">
      <c r="A2" s="22" t="s">
        <v>128</v>
      </c>
      <c r="B2" s="19"/>
      <c r="C2" s="19"/>
      <c r="D2" s="19"/>
      <c r="E2" s="19"/>
      <c r="F2" s="19"/>
      <c r="G2" s="19">
        <f>11*19000</f>
        <v>209000</v>
      </c>
      <c r="H2" s="19"/>
      <c r="I2" s="19">
        <f>133+76</f>
        <v>209</v>
      </c>
      <c r="J2" s="19"/>
      <c r="K2" s="19"/>
      <c r="AQ2" s="21"/>
      <c r="AR2" s="21"/>
    </row>
    <row r="3" spans="1:44" ht="12.75">
      <c r="A3" s="18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AQ3" s="21"/>
      <c r="AR3" s="21"/>
    </row>
    <row r="4" spans="1:44" ht="12.75">
      <c r="A4" s="18" t="s">
        <v>129</v>
      </c>
      <c r="B4" s="19"/>
      <c r="C4" s="82"/>
      <c r="D4" s="82"/>
      <c r="E4" s="82"/>
      <c r="F4" s="19"/>
      <c r="G4" s="19"/>
      <c r="H4" s="19"/>
      <c r="I4" s="19"/>
      <c r="J4" s="19"/>
      <c r="K4" s="19"/>
      <c r="AQ4" s="21"/>
      <c r="AR4" s="21"/>
    </row>
    <row r="5" spans="1:44" ht="13.5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AQ5" s="21"/>
      <c r="AR5" s="21"/>
    </row>
    <row r="6" spans="1:63" s="23" customFormat="1" ht="23.25" customHeight="1" thickBot="1">
      <c r="A6" s="271" t="s">
        <v>57</v>
      </c>
      <c r="B6" s="273" t="s">
        <v>9</v>
      </c>
      <c r="C6" s="274"/>
      <c r="D6" s="274"/>
      <c r="E6" s="275"/>
      <c r="F6" s="273" t="s">
        <v>123</v>
      </c>
      <c r="G6" s="274"/>
      <c r="H6" s="274"/>
      <c r="I6" s="275"/>
      <c r="J6" s="273" t="s">
        <v>124</v>
      </c>
      <c r="K6" s="274"/>
      <c r="L6" s="274"/>
      <c r="M6" s="275"/>
      <c r="N6" s="190"/>
      <c r="O6" s="264"/>
      <c r="P6" s="264"/>
      <c r="Q6" s="265"/>
      <c r="R6" s="265"/>
      <c r="S6" s="265"/>
      <c r="T6" s="265"/>
      <c r="U6" s="265"/>
      <c r="V6" s="265"/>
      <c r="W6" s="265"/>
      <c r="X6" s="265"/>
      <c r="Y6" s="266"/>
      <c r="Z6" s="266"/>
      <c r="AA6" s="264"/>
      <c r="AB6" s="264"/>
      <c r="AC6" s="266"/>
      <c r="AD6" s="266"/>
      <c r="AE6" s="267"/>
      <c r="AF6" s="267"/>
      <c r="AG6" s="264"/>
      <c r="AH6" s="264"/>
      <c r="AI6" s="264"/>
      <c r="AJ6" s="264"/>
      <c r="AK6" s="268"/>
      <c r="AL6" s="268"/>
      <c r="AM6" s="268"/>
      <c r="AN6" s="268"/>
      <c r="AO6" s="269"/>
      <c r="AP6" s="269"/>
      <c r="AQ6" s="265"/>
      <c r="AR6" s="265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11"/>
    </row>
    <row r="7" spans="1:63" s="23" customFormat="1" ht="13.5" thickBot="1">
      <c r="A7" s="272"/>
      <c r="B7" s="209">
        <v>2008</v>
      </c>
      <c r="C7" s="209">
        <v>2009</v>
      </c>
      <c r="D7" s="209">
        <v>2010</v>
      </c>
      <c r="E7" s="209">
        <v>2011</v>
      </c>
      <c r="F7" s="209">
        <v>2008</v>
      </c>
      <c r="G7" s="209">
        <v>2009</v>
      </c>
      <c r="H7" s="209">
        <v>2010</v>
      </c>
      <c r="I7" s="209">
        <v>2011</v>
      </c>
      <c r="J7" s="209">
        <v>2008</v>
      </c>
      <c r="K7" s="209">
        <v>2009</v>
      </c>
      <c r="L7" s="209">
        <v>2010</v>
      </c>
      <c r="M7" s="209">
        <v>2011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1"/>
    </row>
    <row r="8" spans="1:63" s="23" customFormat="1" ht="15" customHeight="1">
      <c r="A8" s="24" t="s">
        <v>11</v>
      </c>
      <c r="B8" s="25"/>
      <c r="C8" s="150"/>
      <c r="D8" s="157"/>
      <c r="E8" s="157"/>
      <c r="F8" s="97"/>
      <c r="G8" s="155"/>
      <c r="H8" s="85"/>
      <c r="I8" s="85"/>
      <c r="J8" s="26"/>
      <c r="K8" s="155"/>
      <c r="L8" s="85"/>
      <c r="M8" s="8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1"/>
    </row>
    <row r="9" spans="1:63" s="23" customFormat="1" ht="15" customHeight="1">
      <c r="A9" s="27" t="s">
        <v>12</v>
      </c>
      <c r="B9" s="28"/>
      <c r="C9" s="151"/>
      <c r="D9" s="158"/>
      <c r="E9" s="158"/>
      <c r="F9" s="97"/>
      <c r="G9" s="151"/>
      <c r="H9" s="86"/>
      <c r="I9" s="86"/>
      <c r="J9" s="28"/>
      <c r="K9" s="151"/>
      <c r="L9" s="86"/>
      <c r="M9" s="8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1"/>
    </row>
    <row r="10" spans="1:63" ht="15" customHeight="1">
      <c r="A10" s="29" t="s">
        <v>13</v>
      </c>
      <c r="B10" s="30">
        <f aca="true" t="shared" si="0" ref="B10:E12">F10+J10</f>
        <v>24251007.87286</v>
      </c>
      <c r="C10" s="152">
        <f t="shared" si="0"/>
        <v>36606851.493999995</v>
      </c>
      <c r="D10" s="156">
        <f t="shared" si="0"/>
        <v>40618898.436000004</v>
      </c>
      <c r="E10" s="156">
        <f t="shared" si="0"/>
        <v>27832782.86586</v>
      </c>
      <c r="F10" s="30">
        <f>'C4 TRABA AER ESPEC'!B10</f>
        <v>3718633.1550000003</v>
      </c>
      <c r="G10" s="152">
        <f>'C4 TRABA AER ESPEC'!C10</f>
        <v>3602559.072</v>
      </c>
      <c r="H10" s="156">
        <f>'C4 TRABA AER ESPEC'!D10</f>
        <v>7512724.696</v>
      </c>
      <c r="I10" s="156">
        <f>'C4 TRABA AER ESPEC'!E10</f>
        <v>7377595</v>
      </c>
      <c r="J10" s="30">
        <f>'C6 AVIACION AGRICOLA'!B10</f>
        <v>20532374.71786</v>
      </c>
      <c r="K10" s="152">
        <f>'C6 AVIACION AGRICOLA'!C10</f>
        <v>33004292.422</v>
      </c>
      <c r="L10" s="87">
        <f>'C6 AVIACION AGRICOLA'!D10</f>
        <v>33106173.740000006</v>
      </c>
      <c r="M10" s="87">
        <f>'C6 AVIACION AGRICOLA'!E10</f>
        <v>20455187.86586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2"/>
    </row>
    <row r="11" spans="1:63" ht="15" customHeight="1">
      <c r="A11" s="29" t="s">
        <v>14</v>
      </c>
      <c r="B11" s="30">
        <f t="shared" si="0"/>
        <v>10802497.72243</v>
      </c>
      <c r="C11" s="152">
        <f t="shared" si="0"/>
        <v>27482283.897</v>
      </c>
      <c r="D11" s="156">
        <f t="shared" si="0"/>
        <v>45475650.638</v>
      </c>
      <c r="E11" s="156">
        <f t="shared" si="0"/>
        <v>15499519.301429998</v>
      </c>
      <c r="F11" s="30">
        <f>'C4 TRABA AER ESPEC'!B11</f>
        <v>0</v>
      </c>
      <c r="G11" s="152">
        <f>'C4 TRABA AER ESPEC'!C11</f>
        <v>0</v>
      </c>
      <c r="H11" s="156">
        <f>'C4 TRABA AER ESPEC'!D11</f>
        <v>1404028</v>
      </c>
      <c r="I11" s="156">
        <f>'C4 TRABA AER ESPEC'!E11</f>
        <v>4067412</v>
      </c>
      <c r="J11" s="30">
        <f>'C6 AVIACION AGRICOLA'!B11</f>
        <v>10802497.72243</v>
      </c>
      <c r="K11" s="152">
        <f>'C6 AVIACION AGRICOLA'!C11</f>
        <v>27482283.897</v>
      </c>
      <c r="L11" s="87">
        <f>'C6 AVIACION AGRICOLA'!D11</f>
        <v>44071622.638</v>
      </c>
      <c r="M11" s="87">
        <f>'C6 AVIACION AGRICOLA'!E11</f>
        <v>11432107.301429998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2"/>
    </row>
    <row r="12" spans="1:63" ht="15" customHeight="1">
      <c r="A12" s="29" t="s">
        <v>15</v>
      </c>
      <c r="B12" s="30">
        <f t="shared" si="0"/>
        <v>10520485.365000002</v>
      </c>
      <c r="C12" s="152">
        <f t="shared" si="0"/>
        <v>-4088279.533</v>
      </c>
      <c r="D12" s="156">
        <f t="shared" si="0"/>
        <v>1774841.2539999997</v>
      </c>
      <c r="E12" s="156">
        <f t="shared" si="0"/>
        <v>11311136.799000002</v>
      </c>
      <c r="F12" s="30">
        <f>'C4 TRABA AER ESPEC'!B12</f>
        <v>0</v>
      </c>
      <c r="G12" s="152">
        <f>'C4 TRABA AER ESPEC'!C12</f>
        <v>0</v>
      </c>
      <c r="H12" s="156">
        <f>'C4 TRABA AER ESPEC'!D12</f>
        <v>202363</v>
      </c>
      <c r="I12" s="156">
        <f>'C4 TRABA AER ESPEC'!E12</f>
        <v>2418282</v>
      </c>
      <c r="J12" s="30">
        <f>'C6 AVIACION AGRICOLA'!B12</f>
        <v>10520485.365000002</v>
      </c>
      <c r="K12" s="152">
        <f>'C6 AVIACION AGRICOLA'!C12</f>
        <v>-4088279.533</v>
      </c>
      <c r="L12" s="87">
        <f>'C6 AVIACION AGRICOLA'!D12</f>
        <v>1572478.2539999997</v>
      </c>
      <c r="M12" s="87">
        <f>'C6 AVIACION AGRICOLA'!E12</f>
        <v>8892854.799000002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2"/>
    </row>
    <row r="13" spans="1:63" s="32" customFormat="1" ht="15" customHeight="1">
      <c r="A13" s="27" t="s">
        <v>16</v>
      </c>
      <c r="B13" s="31">
        <f aca="true" t="shared" si="1" ref="B13:K13">SUM(B10:B12)</f>
        <v>45573990.96029</v>
      </c>
      <c r="C13" s="153">
        <f t="shared" si="1"/>
        <v>60000855.857999995</v>
      </c>
      <c r="D13" s="159">
        <f>SUM(D10:D12)</f>
        <v>87869390.328</v>
      </c>
      <c r="E13" s="159">
        <f>SUM(E10:E12)</f>
        <v>54643438.966290005</v>
      </c>
      <c r="F13" s="31">
        <f t="shared" si="1"/>
        <v>3718633.1550000003</v>
      </c>
      <c r="G13" s="153">
        <f t="shared" si="1"/>
        <v>3602559.072</v>
      </c>
      <c r="H13" s="159">
        <f>SUM(H10:H12)</f>
        <v>9119115.696</v>
      </c>
      <c r="I13" s="159">
        <f>SUM(I10:I12)</f>
        <v>13863289</v>
      </c>
      <c r="J13" s="31">
        <f t="shared" si="1"/>
        <v>41855357.80529</v>
      </c>
      <c r="K13" s="153">
        <f t="shared" si="1"/>
        <v>56398296.786</v>
      </c>
      <c r="L13" s="88">
        <f>SUM(L10:L12)</f>
        <v>78750274.632</v>
      </c>
      <c r="M13" s="88">
        <f>SUM(M10:M12)</f>
        <v>40780149.96629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12"/>
    </row>
    <row r="14" spans="1:63" ht="15" customHeight="1">
      <c r="A14" s="27" t="s">
        <v>17</v>
      </c>
      <c r="B14" s="96"/>
      <c r="C14" s="152"/>
      <c r="D14" s="156"/>
      <c r="E14" s="156"/>
      <c r="F14" s="30"/>
      <c r="G14" s="152"/>
      <c r="H14" s="156"/>
      <c r="I14" s="156"/>
      <c r="J14" s="30"/>
      <c r="K14" s="152"/>
      <c r="L14" s="87"/>
      <c r="M14" s="8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2"/>
    </row>
    <row r="15" spans="1:63" ht="15" customHeight="1">
      <c r="A15" s="29" t="s">
        <v>18</v>
      </c>
      <c r="B15" s="30">
        <f aca="true" t="shared" si="2" ref="B15:E17">F15+J15</f>
        <v>9981538.95186</v>
      </c>
      <c r="C15" s="152">
        <f t="shared" si="2"/>
        <v>27385733.031999998</v>
      </c>
      <c r="D15" s="156">
        <f t="shared" si="2"/>
        <v>32195525.380999997</v>
      </c>
      <c r="E15" s="156">
        <f t="shared" si="2"/>
        <v>16960979.785860002</v>
      </c>
      <c r="F15" s="30">
        <f>'C4 TRABA AER ESPEC'!B15</f>
        <v>1083886.6570000001</v>
      </c>
      <c r="G15" s="152">
        <f>'C4 TRABA AER ESPEC'!C15</f>
        <v>1019606.81</v>
      </c>
      <c r="H15" s="156">
        <f>'C4 TRABA AER ESPEC'!D15</f>
        <v>4263512.238</v>
      </c>
      <c r="I15" s="156">
        <f>'C4 TRABA AER ESPEC'!E15</f>
        <v>7166390</v>
      </c>
      <c r="J15" s="30">
        <f>'C6 AVIACION AGRICOLA'!B15</f>
        <v>8897652.29486</v>
      </c>
      <c r="K15" s="152">
        <f>'C6 AVIACION AGRICOLA'!C15</f>
        <v>26366126.222</v>
      </c>
      <c r="L15" s="87">
        <f>'C6 AVIACION AGRICOLA'!D15</f>
        <v>27932013.143</v>
      </c>
      <c r="M15" s="87">
        <f>'C6 AVIACION AGRICOLA'!E15</f>
        <v>9794589.78586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2"/>
    </row>
    <row r="16" spans="1:63" ht="15" customHeight="1">
      <c r="A16" s="33" t="s">
        <v>19</v>
      </c>
      <c r="B16" s="30">
        <f t="shared" si="2"/>
        <v>4129136.73451</v>
      </c>
      <c r="C16" s="152">
        <f t="shared" si="2"/>
        <v>2857873.7320000003</v>
      </c>
      <c r="D16" s="156">
        <f t="shared" si="2"/>
        <v>2686902.466</v>
      </c>
      <c r="E16" s="156">
        <f t="shared" si="2"/>
        <v>4262534.51451</v>
      </c>
      <c r="F16" s="30">
        <f>'C4 TRABA AER ESPEC'!B16</f>
        <v>0</v>
      </c>
      <c r="G16" s="152">
        <f>'C4 TRABA AER ESPEC'!C16</f>
        <v>0</v>
      </c>
      <c r="H16" s="156">
        <f>'C4 TRABA AER ESPEC'!D16</f>
        <v>329406</v>
      </c>
      <c r="I16" s="156">
        <f>'C4 TRABA AER ESPEC'!E16</f>
        <v>277775</v>
      </c>
      <c r="J16" s="30">
        <f>'C6 AVIACION AGRICOLA'!B16</f>
        <v>4129136.73451</v>
      </c>
      <c r="K16" s="152">
        <f>'C6 AVIACION AGRICOLA'!C16</f>
        <v>2857873.7320000003</v>
      </c>
      <c r="L16" s="87">
        <f>'C6 AVIACION AGRICOLA'!D16</f>
        <v>2357496.466</v>
      </c>
      <c r="M16" s="87">
        <f>'C6 AVIACION AGRICOLA'!E16</f>
        <v>3984759.51451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2"/>
    </row>
    <row r="17" spans="1:63" ht="15" customHeight="1">
      <c r="A17" s="29" t="s">
        <v>20</v>
      </c>
      <c r="B17" s="30">
        <f t="shared" si="2"/>
        <v>234206.016</v>
      </c>
      <c r="C17" s="152">
        <f t="shared" si="2"/>
        <v>240533.816</v>
      </c>
      <c r="D17" s="156">
        <f t="shared" si="2"/>
        <v>250301.21500000003</v>
      </c>
      <c r="E17" s="156">
        <f t="shared" si="2"/>
        <v>34206.016</v>
      </c>
      <c r="F17" s="30">
        <f>'C4 TRABA AER ESPEC'!B17</f>
        <v>0</v>
      </c>
      <c r="G17" s="152">
        <f>'C4 TRABA AER ESPEC'!C17</f>
        <v>0</v>
      </c>
      <c r="H17" s="156">
        <f>'C4 TRABA AER ESPEC'!D17</f>
        <v>0</v>
      </c>
      <c r="I17" s="156">
        <f>'C4 TRABA AER ESPEC'!E17</f>
        <v>0</v>
      </c>
      <c r="J17" s="30">
        <f>'C6 AVIACION AGRICOLA'!B17</f>
        <v>234206.016</v>
      </c>
      <c r="K17" s="152">
        <f>'C6 AVIACION AGRICOLA'!C17</f>
        <v>240533.816</v>
      </c>
      <c r="L17" s="87">
        <f>'C6 AVIACION AGRICOLA'!D17</f>
        <v>250301.21500000003</v>
      </c>
      <c r="M17" s="87">
        <f>'C6 AVIACION AGRICOLA'!E17</f>
        <v>34206.016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2"/>
    </row>
    <row r="18" spans="1:63" s="32" customFormat="1" ht="15" customHeight="1">
      <c r="A18" s="27" t="s">
        <v>21</v>
      </c>
      <c r="B18" s="90">
        <f aca="true" t="shared" si="3" ref="B18:K18">SUM(B15:B17)</f>
        <v>14344881.702370001</v>
      </c>
      <c r="C18" s="153">
        <f t="shared" si="3"/>
        <v>30484140.58</v>
      </c>
      <c r="D18" s="159">
        <f>SUM(D15:D17)</f>
        <v>35132729.062</v>
      </c>
      <c r="E18" s="159">
        <f>SUM(E15:E17)</f>
        <v>21257720.31637</v>
      </c>
      <c r="F18" s="31">
        <f t="shared" si="3"/>
        <v>1083886.6570000001</v>
      </c>
      <c r="G18" s="153">
        <f t="shared" si="3"/>
        <v>1019606.81</v>
      </c>
      <c r="H18" s="159">
        <f>SUM(H15:H17)</f>
        <v>4592918.238</v>
      </c>
      <c r="I18" s="159">
        <f>SUM(I15:I17)</f>
        <v>7444165</v>
      </c>
      <c r="J18" s="31">
        <f t="shared" si="3"/>
        <v>13260995.04537</v>
      </c>
      <c r="K18" s="153">
        <f t="shared" si="3"/>
        <v>29464533.77</v>
      </c>
      <c r="L18" s="88">
        <f>SUM(L15:L17)</f>
        <v>30539810.823999997</v>
      </c>
      <c r="M18" s="88">
        <f>SUM(M15:M17)</f>
        <v>13813555.316370001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12"/>
    </row>
    <row r="19" spans="1:63" ht="15" customHeight="1">
      <c r="A19" s="27" t="s">
        <v>22</v>
      </c>
      <c r="B19" s="30"/>
      <c r="C19" s="152"/>
      <c r="D19" s="156"/>
      <c r="E19" s="156"/>
      <c r="F19" s="30"/>
      <c r="G19" s="152"/>
      <c r="H19" s="156"/>
      <c r="I19" s="156"/>
      <c r="J19" s="30"/>
      <c r="K19" s="152"/>
      <c r="L19" s="87"/>
      <c r="M19" s="8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2"/>
    </row>
    <row r="20" spans="1:63" ht="15" customHeight="1">
      <c r="A20" s="29" t="s">
        <v>23</v>
      </c>
      <c r="B20" s="30">
        <f aca="true" t="shared" si="4" ref="B20:E23">F20+J20</f>
        <v>5577295</v>
      </c>
      <c r="C20" s="152">
        <f t="shared" si="4"/>
        <v>8563176</v>
      </c>
      <c r="D20" s="156">
        <f t="shared" si="4"/>
        <v>10380674</v>
      </c>
      <c r="E20" s="156">
        <f t="shared" si="4"/>
        <v>6216295</v>
      </c>
      <c r="F20" s="30">
        <f>'C4 TRABA AER ESPEC'!B20</f>
        <v>584000</v>
      </c>
      <c r="G20" s="152">
        <f>'C4 TRABA AER ESPEC'!C20</f>
        <v>584000</v>
      </c>
      <c r="H20" s="156">
        <f>'C4 TRABA AER ESPEC'!D20</f>
        <v>1114000</v>
      </c>
      <c r="I20" s="156">
        <f>'C4 TRABA AER ESPEC'!E20</f>
        <v>1314000</v>
      </c>
      <c r="J20" s="30">
        <f>'C6 AVIACION AGRICOLA'!B20</f>
        <v>4993295</v>
      </c>
      <c r="K20" s="152">
        <f>'C6 AVIACION AGRICOLA'!C20</f>
        <v>7979176</v>
      </c>
      <c r="L20" s="87">
        <f>'C6 AVIACION AGRICOLA'!D20</f>
        <v>9266674</v>
      </c>
      <c r="M20" s="87">
        <f>'C6 AVIACION AGRICOLA'!E20</f>
        <v>4902295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2"/>
    </row>
    <row r="21" spans="1:63" s="49" customFormat="1" ht="15" customHeight="1">
      <c r="A21" s="217" t="s">
        <v>24</v>
      </c>
      <c r="B21" s="218">
        <f t="shared" si="4"/>
        <v>280867.09469</v>
      </c>
      <c r="C21" s="219">
        <f t="shared" si="4"/>
        <v>1912409.2510000002</v>
      </c>
      <c r="D21" s="220">
        <f t="shared" si="4"/>
        <v>2523408.897</v>
      </c>
      <c r="E21" s="220">
        <f t="shared" si="4"/>
        <v>1466082.6326899999</v>
      </c>
      <c r="F21" s="218">
        <f>'C4 TRABA AER ESPEC'!B21</f>
        <v>164590.318</v>
      </c>
      <c r="G21" s="219">
        <f>'C4 TRABA AER ESPEC'!C21</f>
        <v>50350.713</v>
      </c>
      <c r="H21" s="220">
        <f>'C4 TRABA AER ESPEC'!D21</f>
        <v>463001.519</v>
      </c>
      <c r="I21" s="220">
        <f>'C4 TRABA AER ESPEC'!E21</f>
        <v>792072</v>
      </c>
      <c r="J21" s="218">
        <f>'C6 AVIACION AGRICOLA'!B21</f>
        <v>116276.77669</v>
      </c>
      <c r="K21" s="219">
        <f>'C6 AVIACION AGRICOLA'!C21</f>
        <v>1862058.5380000002</v>
      </c>
      <c r="L21" s="221">
        <f>'C6 AVIACION AGRICOLA'!D21</f>
        <v>2060407.378</v>
      </c>
      <c r="M21" s="221">
        <f>'C6 AVIACION AGRICOLA'!E21</f>
        <v>674010.63269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222"/>
    </row>
    <row r="22" spans="1:63" ht="15" customHeight="1">
      <c r="A22" s="29" t="s">
        <v>25</v>
      </c>
      <c r="B22" s="30">
        <f t="shared" si="4"/>
        <v>1105557.4682</v>
      </c>
      <c r="C22" s="152">
        <f t="shared" si="4"/>
        <v>1509456.992</v>
      </c>
      <c r="D22" s="156">
        <f t="shared" si="4"/>
        <v>2645010.3490000004</v>
      </c>
      <c r="E22" s="156">
        <f t="shared" si="4"/>
        <v>2201108.9682</v>
      </c>
      <c r="F22" s="30">
        <f>'C4 TRABA AER ESPEC'!B22</f>
        <v>59202.302</v>
      </c>
      <c r="G22" s="152">
        <f>'C4 TRABA AER ESPEC'!C22</f>
        <v>107000</v>
      </c>
      <c r="H22" s="156">
        <f>'C4 TRABA AER ESPEC'!D22</f>
        <v>766775</v>
      </c>
      <c r="I22" s="156">
        <f>'C4 TRABA AER ESPEC'!E22</f>
        <v>1433422</v>
      </c>
      <c r="J22" s="30">
        <f>'C6 AVIACION AGRICOLA'!B22</f>
        <v>1046355.1662</v>
      </c>
      <c r="K22" s="152">
        <f>'C6 AVIACION AGRICOLA'!C22</f>
        <v>1402456.992</v>
      </c>
      <c r="L22" s="87">
        <f>'C6 AVIACION AGRICOLA'!D22</f>
        <v>1878235.3490000002</v>
      </c>
      <c r="M22" s="87">
        <f>'C6 AVIACION AGRICOLA'!E22</f>
        <v>767686.9682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2"/>
    </row>
    <row r="23" spans="1:63" ht="15" customHeight="1">
      <c r="A23" s="29" t="s">
        <v>26</v>
      </c>
      <c r="B23" s="30">
        <f t="shared" si="4"/>
        <v>19278307.419029996</v>
      </c>
      <c r="C23" s="152">
        <f t="shared" si="4"/>
        <v>18785690.831</v>
      </c>
      <c r="D23" s="156">
        <f t="shared" si="4"/>
        <v>36172134.17299999</v>
      </c>
      <c r="E23" s="156">
        <f t="shared" si="4"/>
        <v>18515147.773029998</v>
      </c>
      <c r="F23" s="30">
        <f>'C4 TRABA AER ESPEC'!B23</f>
        <v>1826953.878</v>
      </c>
      <c r="G23" s="152">
        <f>'C4 TRABA AER ESPEC'!C23</f>
        <v>1841601.548</v>
      </c>
      <c r="H23" s="156">
        <f>'C4 TRABA AER ESPEC'!D23</f>
        <v>2182420.9390000002</v>
      </c>
      <c r="I23" s="156">
        <f>'C4 TRABA AER ESPEC'!E23</f>
        <v>2879628</v>
      </c>
      <c r="J23" s="30">
        <f>'C6 AVIACION AGRICOLA'!B23</f>
        <v>17451353.541029997</v>
      </c>
      <c r="K23" s="152">
        <f>'C6 AVIACION AGRICOLA'!C23</f>
        <v>16944089.283</v>
      </c>
      <c r="L23" s="87">
        <f>'C6 AVIACION AGRICOLA'!D23</f>
        <v>33989713.23399999</v>
      </c>
      <c r="M23" s="87">
        <f>'C6 AVIACION AGRICOLA'!E23</f>
        <v>15635519.77303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2"/>
    </row>
    <row r="24" spans="1:63" s="32" customFormat="1" ht="15" customHeight="1">
      <c r="A24" s="27" t="s">
        <v>27</v>
      </c>
      <c r="B24" s="31">
        <f aca="true" t="shared" si="5" ref="B24:K24">SUM(B20:B23)</f>
        <v>26242026.981919996</v>
      </c>
      <c r="C24" s="153">
        <f t="shared" si="5"/>
        <v>30770733.074</v>
      </c>
      <c r="D24" s="159">
        <f>SUM(D20:D23)</f>
        <v>51721227.41899999</v>
      </c>
      <c r="E24" s="159">
        <f>SUM(E20:E23)</f>
        <v>28398634.373919997</v>
      </c>
      <c r="F24" s="31">
        <f t="shared" si="5"/>
        <v>2634746.498</v>
      </c>
      <c r="G24" s="153">
        <f t="shared" si="5"/>
        <v>2582952.261</v>
      </c>
      <c r="H24" s="159">
        <f>SUM(H20:H23)</f>
        <v>4526197.458000001</v>
      </c>
      <c r="I24" s="159">
        <f>SUM(I20:I23)</f>
        <v>6419122</v>
      </c>
      <c r="J24" s="31">
        <f t="shared" si="5"/>
        <v>23607280.483919997</v>
      </c>
      <c r="K24" s="153">
        <f t="shared" si="5"/>
        <v>28187780.813</v>
      </c>
      <c r="L24" s="88">
        <f>SUM(L20:L23)</f>
        <v>47195029.96099999</v>
      </c>
      <c r="M24" s="88">
        <f>SUM(M20:M23)</f>
        <v>21979512.37392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12"/>
    </row>
    <row r="25" spans="1:63" s="32" customFormat="1" ht="15" customHeight="1">
      <c r="A25" s="27" t="s">
        <v>28</v>
      </c>
      <c r="B25" s="31">
        <f aca="true" t="shared" si="6" ref="B25:K25">+B24+B18</f>
        <v>40586908.68429</v>
      </c>
      <c r="C25" s="153">
        <f t="shared" si="6"/>
        <v>61254873.654</v>
      </c>
      <c r="D25" s="159">
        <f>+D24+D18</f>
        <v>86853956.48099999</v>
      </c>
      <c r="E25" s="159">
        <f>+E24+E18</f>
        <v>49656354.69029</v>
      </c>
      <c r="F25" s="31">
        <f t="shared" si="6"/>
        <v>3718633.1550000003</v>
      </c>
      <c r="G25" s="153">
        <f t="shared" si="6"/>
        <v>3602559.071</v>
      </c>
      <c r="H25" s="159">
        <f>+H24+H18</f>
        <v>9119115.696</v>
      </c>
      <c r="I25" s="159">
        <f>+I24+I18</f>
        <v>13863287</v>
      </c>
      <c r="J25" s="31">
        <f t="shared" si="6"/>
        <v>36868275.52929</v>
      </c>
      <c r="K25" s="153">
        <f t="shared" si="6"/>
        <v>57652314.583000004</v>
      </c>
      <c r="L25" s="88">
        <f>+L24+L18</f>
        <v>77734840.78499998</v>
      </c>
      <c r="M25" s="88">
        <f>+M24+M18</f>
        <v>35793067.690290004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12"/>
    </row>
    <row r="26" spans="1:63" ht="15" customHeight="1">
      <c r="A26" s="27" t="s">
        <v>29</v>
      </c>
      <c r="B26" s="30"/>
      <c r="C26" s="152"/>
      <c r="D26" s="156"/>
      <c r="E26" s="156"/>
      <c r="F26" s="30"/>
      <c r="G26" s="152"/>
      <c r="H26" s="156"/>
      <c r="I26" s="156"/>
      <c r="J26" s="30"/>
      <c r="K26" s="152"/>
      <c r="L26" s="87"/>
      <c r="M26" s="8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"/>
    </row>
    <row r="27" spans="1:63" ht="15" customHeight="1">
      <c r="A27" s="27" t="s">
        <v>30</v>
      </c>
      <c r="B27" s="30"/>
      <c r="C27" s="152"/>
      <c r="D27" s="156"/>
      <c r="E27" s="156"/>
      <c r="F27" s="30"/>
      <c r="G27" s="152"/>
      <c r="H27" s="156"/>
      <c r="I27" s="156"/>
      <c r="J27" s="30"/>
      <c r="K27" s="152"/>
      <c r="L27" s="87"/>
      <c r="M27" s="8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"/>
    </row>
    <row r="28" spans="1:63" ht="15" customHeight="1">
      <c r="A28" s="33" t="s">
        <v>31</v>
      </c>
      <c r="B28" s="30">
        <f aca="true" t="shared" si="7" ref="B28:E29">F28+J28</f>
        <v>52133298.26251999</v>
      </c>
      <c r="C28" s="152">
        <f t="shared" si="7"/>
        <v>57436154.72900001</v>
      </c>
      <c r="D28" s="156">
        <f t="shared" si="7"/>
        <v>74677846.53299999</v>
      </c>
      <c r="E28" s="156">
        <f t="shared" si="7"/>
        <v>63649946.08852</v>
      </c>
      <c r="F28" s="30">
        <f>'C4 TRABA AER ESPEC'!B28</f>
        <v>2213412.573</v>
      </c>
      <c r="G28" s="152">
        <f>'C4 TRABA AER ESPEC'!C28</f>
        <v>1221365.066</v>
      </c>
      <c r="H28" s="156">
        <f>'C4 TRABA AER ESPEC'!D28</f>
        <v>8524162.555</v>
      </c>
      <c r="I28" s="156">
        <f>'C4 TRABA AER ESPEC'!E28</f>
        <v>11650678</v>
      </c>
      <c r="J28" s="30">
        <f>'C6 AVIACION AGRICOLA'!B28</f>
        <v>49919885.689519994</v>
      </c>
      <c r="K28" s="152">
        <f>'C6 AVIACION AGRICOLA'!C28</f>
        <v>56214789.66300001</v>
      </c>
      <c r="L28" s="87">
        <f>'C6 AVIACION AGRICOLA'!D28</f>
        <v>66153683.97799999</v>
      </c>
      <c r="M28" s="87">
        <f>'C6 AVIACION AGRICOLA'!E28</f>
        <v>51999268.08852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2"/>
    </row>
    <row r="29" spans="1:63" ht="15" customHeight="1">
      <c r="A29" s="33" t="s">
        <v>32</v>
      </c>
      <c r="B29" s="30">
        <f t="shared" si="7"/>
        <v>3944050.2049100003</v>
      </c>
      <c r="C29" s="152">
        <f t="shared" si="7"/>
        <v>3787773.802</v>
      </c>
      <c r="D29" s="156">
        <f t="shared" si="7"/>
        <v>1417072.7829999998</v>
      </c>
      <c r="E29" s="156">
        <f t="shared" si="7"/>
        <v>3787187.2169100004</v>
      </c>
      <c r="F29" s="30">
        <f>'C4 TRABA AER ESPEC'!B29</f>
        <v>433351.43799999997</v>
      </c>
      <c r="G29" s="152">
        <f>'C4 TRABA AER ESPEC'!C29</f>
        <v>1530.81</v>
      </c>
      <c r="H29" s="156">
        <f>'C4 TRABA AER ESPEC'!D29</f>
        <v>98505.245</v>
      </c>
      <c r="I29" s="156">
        <f>'C4 TRABA AER ESPEC'!E29</f>
        <v>26008</v>
      </c>
      <c r="J29" s="30">
        <f>'C6 AVIACION AGRICOLA'!B29</f>
        <v>3510698.7669100002</v>
      </c>
      <c r="K29" s="152">
        <f>'C6 AVIACION AGRICOLA'!C29</f>
        <v>3786242.992</v>
      </c>
      <c r="L29" s="87">
        <f>'C6 AVIACION AGRICOLA'!D29</f>
        <v>1318567.5379999997</v>
      </c>
      <c r="M29" s="87">
        <f>'C6 AVIACION AGRICOLA'!E29</f>
        <v>3761179.2169100004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2"/>
    </row>
    <row r="30" spans="1:63" s="32" customFormat="1" ht="15" customHeight="1">
      <c r="A30" s="27" t="s">
        <v>33</v>
      </c>
      <c r="B30" s="31">
        <f aca="true" t="shared" si="8" ref="B30:K30">SUM(B28:B29)</f>
        <v>56077348.467429996</v>
      </c>
      <c r="C30" s="153">
        <f t="shared" si="8"/>
        <v>61223928.53100001</v>
      </c>
      <c r="D30" s="159">
        <f>SUM(D28:D29)</f>
        <v>76094919.31599998</v>
      </c>
      <c r="E30" s="159">
        <f>SUM(E28:E29)</f>
        <v>67437133.30543</v>
      </c>
      <c r="F30" s="31">
        <f t="shared" si="8"/>
        <v>2646764.011</v>
      </c>
      <c r="G30" s="153">
        <f t="shared" si="8"/>
        <v>1222895.8760000002</v>
      </c>
      <c r="H30" s="159">
        <f>SUM(H28:H29)</f>
        <v>8622667.799999999</v>
      </c>
      <c r="I30" s="159">
        <f>SUM(I28:I29)</f>
        <v>11676686</v>
      </c>
      <c r="J30" s="31">
        <f t="shared" si="8"/>
        <v>53430584.456429996</v>
      </c>
      <c r="K30" s="153">
        <f t="shared" si="8"/>
        <v>60001032.65500001</v>
      </c>
      <c r="L30" s="88">
        <f>SUM(L28:L29)</f>
        <v>67472251.51599999</v>
      </c>
      <c r="M30" s="88">
        <f>SUM(M28:M29)</f>
        <v>55760447.305429995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12"/>
    </row>
    <row r="31" spans="1:63" ht="15" customHeight="1">
      <c r="A31" s="27" t="s">
        <v>36</v>
      </c>
      <c r="B31" s="30"/>
      <c r="C31" s="152"/>
      <c r="D31" s="156"/>
      <c r="E31" s="156"/>
      <c r="F31" s="30"/>
      <c r="G31" s="152"/>
      <c r="H31" s="156"/>
      <c r="I31" s="156"/>
      <c r="J31" s="30"/>
      <c r="K31" s="152"/>
      <c r="L31" s="87"/>
      <c r="M31" s="8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2"/>
    </row>
    <row r="32" spans="1:63" ht="15" customHeight="1">
      <c r="A32" s="29" t="s">
        <v>62</v>
      </c>
      <c r="B32" s="30">
        <f aca="true" t="shared" si="9" ref="B32:E34">F32+J32</f>
        <v>42423595.76907998</v>
      </c>
      <c r="C32" s="152">
        <f t="shared" si="9"/>
        <v>36942719.42600001</v>
      </c>
      <c r="D32" s="156">
        <f t="shared" si="9"/>
        <v>68976032.56909999</v>
      </c>
      <c r="E32" s="156">
        <f t="shared" si="9"/>
        <v>50948894.812079996</v>
      </c>
      <c r="F32" s="30">
        <f>'C4 TRABA AER ESPEC'!B32</f>
        <v>1985774.002</v>
      </c>
      <c r="G32" s="152">
        <f>'C4 TRABA AER ESPEC'!C32</f>
        <v>1074149.207</v>
      </c>
      <c r="H32" s="156">
        <f>'C4 TRABA AER ESPEC'!D32</f>
        <v>7760773.348</v>
      </c>
      <c r="I32" s="156">
        <f>'C4 TRABA AER ESPEC'!E32</f>
        <v>10084828</v>
      </c>
      <c r="J32" s="30">
        <f>'C6 AVIACION AGRICOLA'!B32</f>
        <v>40437821.76707999</v>
      </c>
      <c r="K32" s="152">
        <f>'C6 AVIACION AGRICOLA'!C32</f>
        <v>35868570.219000004</v>
      </c>
      <c r="L32" s="87">
        <f>'C6 AVIACION AGRICOLA'!D32</f>
        <v>61215259.221099995</v>
      </c>
      <c r="M32" s="87">
        <f>'C6 AVIACION AGRICOLA'!E32</f>
        <v>40864066.812079996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2"/>
    </row>
    <row r="33" spans="1:63" ht="15" customHeight="1">
      <c r="A33" s="29" t="s">
        <v>37</v>
      </c>
      <c r="B33" s="30">
        <f t="shared" si="9"/>
        <v>4289286.80504</v>
      </c>
      <c r="C33" s="152">
        <f t="shared" si="9"/>
        <v>2925319.9569999995</v>
      </c>
      <c r="D33" s="156">
        <f t="shared" si="9"/>
        <v>3757430.1596000004</v>
      </c>
      <c r="E33" s="156">
        <f t="shared" si="9"/>
        <v>5515905.89804</v>
      </c>
      <c r="F33" s="30">
        <f>'C4 TRABA AER ESPEC'!B33</f>
        <v>436399.68999999994</v>
      </c>
      <c r="G33" s="152">
        <f>'C4 TRABA AER ESPEC'!C33</f>
        <v>49793.956</v>
      </c>
      <c r="H33" s="156">
        <f>'C4 TRABA AER ESPEC'!D33</f>
        <v>229862.231</v>
      </c>
      <c r="I33" s="156">
        <f>'C4 TRABA AER ESPEC'!E33</f>
        <v>487070</v>
      </c>
      <c r="J33" s="30">
        <f>'C6 AVIACION AGRICOLA'!B33</f>
        <v>3852887.11504</v>
      </c>
      <c r="K33" s="152">
        <f>'C6 AVIACION AGRICOLA'!C33</f>
        <v>2875526.0009999997</v>
      </c>
      <c r="L33" s="87">
        <f>'C6 AVIACION AGRICOLA'!D33</f>
        <v>3527567.9286</v>
      </c>
      <c r="M33" s="87">
        <f>'C6 AVIACION AGRICOLA'!E33</f>
        <v>5028835.89804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2"/>
    </row>
    <row r="34" spans="1:63" ht="15" customHeight="1">
      <c r="A34" s="29" t="s">
        <v>38</v>
      </c>
      <c r="B34" s="30">
        <f t="shared" si="9"/>
        <v>216659</v>
      </c>
      <c r="C34" s="152">
        <f t="shared" si="9"/>
        <v>1899158.73</v>
      </c>
      <c r="D34" s="156">
        <f t="shared" si="9"/>
        <v>1996787.903</v>
      </c>
      <c r="E34" s="156">
        <f t="shared" si="9"/>
        <v>746843</v>
      </c>
      <c r="F34" s="30">
        <f>'C4 TRABA AER ESPEC'!B34</f>
        <v>60000</v>
      </c>
      <c r="G34" s="152">
        <f>'C4 TRABA AER ESPEC'!C34</f>
        <v>48602</v>
      </c>
      <c r="H34" s="156">
        <f>'C4 TRABA AER ESPEC'!D34</f>
        <v>250953.7</v>
      </c>
      <c r="I34" s="156">
        <f>'C4 TRABA AER ESPEC'!E34</f>
        <v>420249</v>
      </c>
      <c r="J34" s="30">
        <f>'C6 AVIACION AGRICOLA'!B34</f>
        <v>156659</v>
      </c>
      <c r="K34" s="152">
        <f>'C6 AVIACION AGRICOLA'!C34</f>
        <v>1850556.73</v>
      </c>
      <c r="L34" s="87">
        <f>'C6 AVIACION AGRICOLA'!D34</f>
        <v>1745834.203</v>
      </c>
      <c r="M34" s="87">
        <f>'C6 AVIACION AGRICOLA'!E34</f>
        <v>326594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2"/>
    </row>
    <row r="35" spans="1:63" s="32" customFormat="1" ht="15" customHeight="1">
      <c r="A35" s="27" t="s">
        <v>39</v>
      </c>
      <c r="B35" s="31">
        <f aca="true" t="shared" si="10" ref="B35:K35">SUM(B32:B34)</f>
        <v>46929541.574119985</v>
      </c>
      <c r="C35" s="153">
        <f t="shared" si="10"/>
        <v>41767198.113000005</v>
      </c>
      <c r="D35" s="159">
        <f>SUM(D32:D34)</f>
        <v>74730250.6317</v>
      </c>
      <c r="E35" s="159">
        <f>SUM(E32:E34)</f>
        <v>57211643.71011999</v>
      </c>
      <c r="F35" s="31">
        <f t="shared" si="10"/>
        <v>2482173.692</v>
      </c>
      <c r="G35" s="153">
        <f t="shared" si="10"/>
        <v>1172545.163</v>
      </c>
      <c r="H35" s="159">
        <f>SUM(H32:H34)</f>
        <v>8241589.279</v>
      </c>
      <c r="I35" s="159">
        <f>SUM(I32:I34)</f>
        <v>10992147</v>
      </c>
      <c r="J35" s="31">
        <f t="shared" si="10"/>
        <v>44447367.88211998</v>
      </c>
      <c r="K35" s="153">
        <f t="shared" si="10"/>
        <v>40594652.95</v>
      </c>
      <c r="L35" s="88">
        <f>SUM(L32:L34)</f>
        <v>66488661.352699995</v>
      </c>
      <c r="M35" s="88">
        <f>SUM(M32:M34)</f>
        <v>46219496.71011999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12"/>
    </row>
    <row r="36" spans="1:63" s="20" customFormat="1" ht="15" customHeight="1">
      <c r="A36" s="215" t="s">
        <v>40</v>
      </c>
      <c r="B36" s="216">
        <f aca="true" t="shared" si="11" ref="B36:K36">+B28-B32</f>
        <v>9709702.49344001</v>
      </c>
      <c r="C36" s="216">
        <f t="shared" si="11"/>
        <v>20493435.303000003</v>
      </c>
      <c r="D36" s="216">
        <f>+D28-D32</f>
        <v>5701813.9639</v>
      </c>
      <c r="E36" s="216">
        <f>+E28-E32</f>
        <v>12701051.276440002</v>
      </c>
      <c r="F36" s="216">
        <f t="shared" si="11"/>
        <v>227638.57099999976</v>
      </c>
      <c r="G36" s="216">
        <f t="shared" si="11"/>
        <v>147215.85900000017</v>
      </c>
      <c r="H36" s="216">
        <f>+H28-H32</f>
        <v>763389.2069999995</v>
      </c>
      <c r="I36" s="216">
        <f>+I28-I32</f>
        <v>1565850</v>
      </c>
      <c r="J36" s="216">
        <f t="shared" si="11"/>
        <v>9482063.922440007</v>
      </c>
      <c r="K36" s="216">
        <f t="shared" si="11"/>
        <v>20346219.444000006</v>
      </c>
      <c r="L36" s="216">
        <f>+L28-L32</f>
        <v>4938424.756899998</v>
      </c>
      <c r="M36" s="216">
        <f>+M28-M32</f>
        <v>11135201.276440002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0"/>
    </row>
    <row r="37" spans="1:63" s="20" customFormat="1" ht="15" customHeight="1" thickBot="1">
      <c r="A37" s="83" t="s">
        <v>41</v>
      </c>
      <c r="B37" s="84">
        <f aca="true" t="shared" si="12" ref="B37:K37">+B30-B35</f>
        <v>9147806.89331001</v>
      </c>
      <c r="C37" s="154">
        <f t="shared" si="12"/>
        <v>19456730.418000005</v>
      </c>
      <c r="D37" s="160">
        <f>+D30-D35</f>
        <v>1364668.6842999905</v>
      </c>
      <c r="E37" s="160">
        <f>+E30-E35</f>
        <v>10225489.595310003</v>
      </c>
      <c r="F37" s="84">
        <f t="shared" si="12"/>
        <v>164590.31900000013</v>
      </c>
      <c r="G37" s="154">
        <f t="shared" si="12"/>
        <v>50350.71300000022</v>
      </c>
      <c r="H37" s="160">
        <f>+H30-H35</f>
        <v>381078.5209999988</v>
      </c>
      <c r="I37" s="160">
        <f>+I30-I35</f>
        <v>684539</v>
      </c>
      <c r="J37" s="84">
        <f t="shared" si="12"/>
        <v>8983216.574310012</v>
      </c>
      <c r="K37" s="154">
        <f t="shared" si="12"/>
        <v>19406379.705000006</v>
      </c>
      <c r="L37" s="89">
        <f>+L30-L35</f>
        <v>983590.1632999927</v>
      </c>
      <c r="M37" s="89">
        <f>+M30-M35</f>
        <v>9540950.595310003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10"/>
    </row>
    <row r="38" spans="1:5" s="19" customFormat="1" ht="9.75">
      <c r="A38" s="270" t="s">
        <v>127</v>
      </c>
      <c r="B38" s="270"/>
      <c r="C38" s="270"/>
      <c r="D38" s="99"/>
      <c r="E38" s="99"/>
    </row>
    <row r="39" spans="1:5" s="19" customFormat="1" ht="9.75">
      <c r="A39" s="99"/>
      <c r="B39" s="99"/>
      <c r="C39" s="99"/>
      <c r="D39" s="99"/>
      <c r="E39" s="99"/>
    </row>
  </sheetData>
  <sheetProtection/>
  <mergeCells count="29">
    <mergeCell ref="Y6:Z6"/>
    <mergeCell ref="A38:C38"/>
    <mergeCell ref="A6:A7"/>
    <mergeCell ref="B6:E6"/>
    <mergeCell ref="F6:I6"/>
    <mergeCell ref="J6:M6"/>
    <mergeCell ref="BG6:BH6"/>
    <mergeCell ref="BI6:BJ6"/>
    <mergeCell ref="AW6:AX6"/>
    <mergeCell ref="AY6:AZ6"/>
    <mergeCell ref="BA6:BB6"/>
    <mergeCell ref="BC6:BD6"/>
    <mergeCell ref="BE6:BF6"/>
    <mergeCell ref="AU6:AV6"/>
    <mergeCell ref="AS6:AT6"/>
    <mergeCell ref="AK6:AL6"/>
    <mergeCell ref="AM6:AN6"/>
    <mergeCell ref="AO6:AP6"/>
    <mergeCell ref="AQ6:AR6"/>
    <mergeCell ref="AI6:AJ6"/>
    <mergeCell ref="U6:V6"/>
    <mergeCell ref="Q6:R6"/>
    <mergeCell ref="S6:T6"/>
    <mergeCell ref="O6:P6"/>
    <mergeCell ref="AG6:AH6"/>
    <mergeCell ref="W6:X6"/>
    <mergeCell ref="AA6:AB6"/>
    <mergeCell ref="AC6:AD6"/>
    <mergeCell ref="AE6:AF6"/>
  </mergeCells>
  <printOptions/>
  <pageMargins left="1.5748031496062993" right="0.7874015748031497" top="0.9055118110236221" bottom="0.3937007874015748" header="0.15748031496062992" footer="0"/>
  <pageSetup fitToHeight="8" fitToWidth="2" horizontalDpi="600" verticalDpi="600" orientation="landscape" paperSize="9" scale="85" r:id="rId4"/>
  <drawing r:id="rId3"/>
  <legacyDrawing r:id="rId2"/>
  <oleObjects>
    <oleObject progId="MSPhotoEd.3" shapeId="51582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12" sqref="N12"/>
    </sheetView>
  </sheetViews>
  <sheetFormatPr defaultColWidth="11.421875" defaultRowHeight="12.75"/>
  <cols>
    <col min="1" max="1" width="34.00390625" style="1" bestFit="1" customWidth="1"/>
    <col min="2" max="2" width="13.140625" style="1" customWidth="1"/>
    <col min="3" max="3" width="15.57421875" style="1" customWidth="1"/>
    <col min="4" max="5" width="12.8515625" style="1" customWidth="1"/>
    <col min="6" max="7" width="10.8515625" style="1" customWidth="1"/>
    <col min="8" max="9" width="10.140625" style="1" customWidth="1"/>
    <col min="10" max="11" width="9.00390625" style="1" bestFit="1" customWidth="1"/>
    <col min="12" max="13" width="9.57421875" style="1" customWidth="1"/>
    <col min="14" max="15" width="11.421875" style="1" customWidth="1"/>
    <col min="16" max="16" width="21.00390625" style="1" bestFit="1" customWidth="1"/>
    <col min="17" max="16384" width="11.421875" style="1" customWidth="1"/>
  </cols>
  <sheetData>
    <row r="1" spans="1:11" ht="12.75">
      <c r="A1" s="18" t="s">
        <v>71</v>
      </c>
      <c r="B1" s="18"/>
      <c r="C1" s="18"/>
      <c r="D1" s="18"/>
      <c r="E1" s="18"/>
      <c r="F1" s="19"/>
      <c r="G1" s="19"/>
      <c r="H1" s="19"/>
      <c r="I1" s="19"/>
      <c r="J1" s="19"/>
      <c r="K1" s="19"/>
    </row>
    <row r="2" spans="1:11" ht="12.75">
      <c r="A2" s="22" t="s">
        <v>136</v>
      </c>
      <c r="B2" s="22"/>
      <c r="C2" s="22"/>
      <c r="D2" s="22"/>
      <c r="E2" s="22"/>
      <c r="F2" s="19"/>
      <c r="G2" s="19"/>
      <c r="H2" s="19"/>
      <c r="I2" s="19"/>
      <c r="J2" s="19"/>
      <c r="K2" s="19"/>
    </row>
    <row r="3" spans="1:11" ht="12.75">
      <c r="A3" s="18" t="s">
        <v>64</v>
      </c>
      <c r="B3" s="18"/>
      <c r="C3" s="18"/>
      <c r="D3" s="18"/>
      <c r="E3" s="18"/>
      <c r="F3" s="19"/>
      <c r="G3" s="19"/>
      <c r="H3" s="19"/>
      <c r="I3" s="19"/>
      <c r="J3" s="19"/>
      <c r="K3" s="19"/>
    </row>
    <row r="4" spans="1:11" ht="12.75">
      <c r="A4" s="18" t="s">
        <v>139</v>
      </c>
      <c r="B4" s="18"/>
      <c r="C4" s="18"/>
      <c r="D4" s="18"/>
      <c r="E4" s="18"/>
      <c r="F4" s="19"/>
      <c r="G4" s="19"/>
      <c r="H4" s="19"/>
      <c r="I4" s="19"/>
      <c r="J4" s="19"/>
      <c r="K4" s="19"/>
    </row>
    <row r="5" spans="1:11" ht="13.5" thickBot="1">
      <c r="A5" s="18" t="s">
        <v>140</v>
      </c>
      <c r="B5" s="18"/>
      <c r="C5" s="18"/>
      <c r="D5" s="18"/>
      <c r="E5" s="18"/>
      <c r="F5" s="19"/>
      <c r="G5" s="19"/>
      <c r="H5" s="19"/>
      <c r="I5" s="19"/>
      <c r="J5" s="19"/>
      <c r="K5" s="19"/>
    </row>
    <row r="6" spans="1:13" ht="17.25" customHeight="1" thickBot="1">
      <c r="A6" s="276" t="s">
        <v>57</v>
      </c>
      <c r="B6" s="276" t="s">
        <v>9</v>
      </c>
      <c r="C6" s="281"/>
      <c r="D6" s="281"/>
      <c r="E6" s="282"/>
      <c r="F6" s="278" t="s">
        <v>75</v>
      </c>
      <c r="G6" s="279"/>
      <c r="H6" s="279"/>
      <c r="I6" s="280"/>
      <c r="J6" s="278" t="s">
        <v>76</v>
      </c>
      <c r="K6" s="279"/>
      <c r="L6" s="279"/>
      <c r="M6" s="280"/>
    </row>
    <row r="7" spans="1:13" ht="13.5" thickBot="1">
      <c r="A7" s="277"/>
      <c r="B7" s="209">
        <v>2008</v>
      </c>
      <c r="C7" s="209">
        <v>2009</v>
      </c>
      <c r="D7" s="209">
        <v>2010</v>
      </c>
      <c r="E7" s="209">
        <v>2011</v>
      </c>
      <c r="F7" s="209">
        <v>2008</v>
      </c>
      <c r="G7" s="209">
        <v>2009</v>
      </c>
      <c r="H7" s="209">
        <v>2010</v>
      </c>
      <c r="I7" s="209">
        <v>2011</v>
      </c>
      <c r="J7" s="209">
        <v>2008</v>
      </c>
      <c r="K7" s="209">
        <v>2009</v>
      </c>
      <c r="L7" s="209">
        <v>2010</v>
      </c>
      <c r="M7" s="209">
        <v>2011</v>
      </c>
    </row>
    <row r="8" spans="1:13" ht="13.5" thickBot="1">
      <c r="A8" s="14" t="s">
        <v>42</v>
      </c>
      <c r="B8" s="14"/>
      <c r="C8" s="14"/>
      <c r="D8" s="14"/>
      <c r="E8" s="14"/>
      <c r="F8" s="72"/>
      <c r="G8" s="72"/>
      <c r="H8" s="72"/>
      <c r="I8" s="72"/>
      <c r="J8" s="72"/>
      <c r="K8" s="72"/>
      <c r="L8" s="72"/>
      <c r="M8" s="72"/>
    </row>
    <row r="9" spans="1:13" s="16" customFormat="1" ht="13.5" thickBot="1">
      <c r="A9" s="309" t="s">
        <v>61</v>
      </c>
      <c r="B9" s="310">
        <f>'Cuadro 2'!B10/'Cuadro 2'!B15</f>
        <v>2.429586057803338</v>
      </c>
      <c r="C9" s="310">
        <f>'Cuadro 2'!C10/'Cuadro 2'!C15</f>
        <v>1.3367124937362531</v>
      </c>
      <c r="D9" s="311">
        <f>'Cuadro 2'!D10/'Cuadro 2'!D15</f>
        <v>1.2616317937141355</v>
      </c>
      <c r="E9" s="311">
        <f>'Cuadro 2'!E10/'Cuadro 2'!E15</f>
        <v>1.6409890948082835</v>
      </c>
      <c r="F9" s="312">
        <f>'Cuadro 2'!F10/'Cuadro 2'!F15</f>
        <v>3.430832117901051</v>
      </c>
      <c r="G9" s="312">
        <f>'Cuadro 2'!G10/'Cuadro 2'!G15</f>
        <v>3.533282670012767</v>
      </c>
      <c r="H9" s="311">
        <f>'Cuadro 2'!H10/'Cuadro 2'!H15</f>
        <v>1.762097603248395</v>
      </c>
      <c r="I9" s="311">
        <f>'Cuadro 2'!I10/'Cuadro 2'!I15</f>
        <v>1.0294716028572266</v>
      </c>
      <c r="J9" s="310">
        <f>'Cuadro 2'!J10/'Cuadro 2'!J15</f>
        <v>2.3076171148788487</v>
      </c>
      <c r="K9" s="310">
        <f>'Cuadro 2'!K10/'Cuadro 2'!K15</f>
        <v>1.2517687332643157</v>
      </c>
      <c r="L9" s="311">
        <f>'Cuadro 2'!L10/'Cuadro 2'!L15</f>
        <v>1.185241234511473</v>
      </c>
      <c r="M9" s="311">
        <f>'Cuadro 2'!M10/'Cuadro 2'!M15</f>
        <v>2.088417005007215</v>
      </c>
    </row>
    <row r="10" spans="1:13" ht="13.5" thickBot="1">
      <c r="A10" s="14" t="s">
        <v>43</v>
      </c>
      <c r="B10" s="94"/>
      <c r="C10" s="94"/>
      <c r="D10" s="147"/>
      <c r="E10" s="147"/>
      <c r="F10" s="172"/>
      <c r="G10" s="172"/>
      <c r="H10" s="147"/>
      <c r="I10" s="147"/>
      <c r="J10" s="94"/>
      <c r="K10" s="94"/>
      <c r="L10" s="147"/>
      <c r="M10" s="147"/>
    </row>
    <row r="11" spans="1:15" ht="12.75">
      <c r="A11" s="66" t="s">
        <v>10</v>
      </c>
      <c r="B11" s="95">
        <f>'Cuadro 2'!B15/'Cuadro 2'!B18</f>
        <v>0.6958258115304563</v>
      </c>
      <c r="C11" s="95">
        <f>'Cuadro 2'!C15/'Cuadro 2'!C18</f>
        <v>0.8983600164200528</v>
      </c>
      <c r="D11" s="148">
        <f>'Cuadro 2'!D15/'Cuadro 2'!D18</f>
        <v>0.9163969392808452</v>
      </c>
      <c r="E11" s="148">
        <f>'Cuadro 2'!E15/'Cuadro 2'!E18</f>
        <v>0.7978738798627814</v>
      </c>
      <c r="F11" s="173">
        <f>'Cuadro 2'!F15/'Cuadro 2'!F18</f>
        <v>1</v>
      </c>
      <c r="G11" s="173">
        <f>'Cuadro 2'!G15/'Cuadro 2'!G18</f>
        <v>1</v>
      </c>
      <c r="H11" s="148">
        <f>'Cuadro 2'!H15/'Cuadro 2'!H18</f>
        <v>0.9282795854551418</v>
      </c>
      <c r="I11" s="148">
        <f>'Cuadro 2'!I15/'Cuadro 2'!I18</f>
        <v>0.9626855396139123</v>
      </c>
      <c r="J11" s="95">
        <f>'Cuadro 2'!J15/'Cuadro 2'!J18</f>
        <v>0.6709641519673566</v>
      </c>
      <c r="K11" s="95">
        <f>'Cuadro 2'!K15/'Cuadro 2'!K18</f>
        <v>0.8948428109473527</v>
      </c>
      <c r="L11" s="148">
        <f>'Cuadro 2'!L15/'Cuadro 2'!L18</f>
        <v>0.9146098940812484</v>
      </c>
      <c r="M11" s="148">
        <f>'Cuadro 2'!M15/'Cuadro 2'!M18</f>
        <v>0.7090563986993809</v>
      </c>
      <c r="N11" s="91"/>
      <c r="O11" s="91"/>
    </row>
    <row r="12" spans="1:15" ht="12.75">
      <c r="A12" s="67" t="s">
        <v>44</v>
      </c>
      <c r="B12" s="92">
        <f>'Cuadro 2'!B18/'Cuadro 2'!B24</f>
        <v>0.5466377163720323</v>
      </c>
      <c r="C12" s="92">
        <f>'Cuadro 2'!C18/'Cuadro 2'!C24</f>
        <v>0.990686198690464</v>
      </c>
      <c r="D12" s="149">
        <f>'Cuadro 2'!D18/'Cuadro 2'!D24</f>
        <v>0.6792709843752442</v>
      </c>
      <c r="E12" s="149">
        <f>'Cuadro 2'!E18/'Cuadro 2'!E24</f>
        <v>0.748547272959439</v>
      </c>
      <c r="F12" s="174">
        <f>'Cuadro 2'!F18/'Cuadro 2'!F24</f>
        <v>0.41138176208707883</v>
      </c>
      <c r="G12" s="174">
        <f>'Cuadro 2'!G18/'Cuadro 2'!G24</f>
        <v>0.3947447366314294</v>
      </c>
      <c r="H12" s="149">
        <f>'Cuadro 2'!H18/'Cuadro 2'!H24</f>
        <v>1.0147410228164198</v>
      </c>
      <c r="I12" s="149">
        <f>'Cuadro 2'!I18/'Cuadro 2'!I24</f>
        <v>1.1596858573493385</v>
      </c>
      <c r="J12" s="92">
        <f>'Cuadro 2'!J18/'Cuadro 2'!J24</f>
        <v>0.5617332777658431</v>
      </c>
      <c r="K12" s="92">
        <f>'Cuadro 2'!K18/'Cuadro 2'!K24</f>
        <v>1.045294553887377</v>
      </c>
      <c r="L12" s="149">
        <f>'Cuadro 2'!L18/'Cuadro 2'!L24</f>
        <v>0.6470980281024682</v>
      </c>
      <c r="M12" s="149">
        <f>'Cuadro 2'!M18/'Cuadro 2'!M24</f>
        <v>0.6284741481690288</v>
      </c>
      <c r="N12" s="91"/>
      <c r="O12" s="91"/>
    </row>
    <row r="13" spans="1:15" ht="12.75">
      <c r="A13" s="68" t="s">
        <v>45</v>
      </c>
      <c r="B13" s="92">
        <f>'Cuadro 2'!B16/'Cuadro 2'!B24</f>
        <v>0.15734823904246636</v>
      </c>
      <c r="C13" s="92">
        <f>'Cuadro 2'!C16/'Cuadro 2'!C24</f>
        <v>0.09287636161046763</v>
      </c>
      <c r="D13" s="149">
        <f>'Cuadro 2'!D16/'Cuadro 2'!D24</f>
        <v>0.051949704213959856</v>
      </c>
      <c r="E13" s="149">
        <f>'Cuadro 2'!E16/'Cuadro 2'!E24</f>
        <v>0.1500964609208292</v>
      </c>
      <c r="F13" s="174">
        <f>'Cuadro 2'!F16/'Cuadro 2'!F24</f>
        <v>0</v>
      </c>
      <c r="G13" s="174">
        <f>'Cuadro 2'!G16/'Cuadro 2'!G24</f>
        <v>0</v>
      </c>
      <c r="H13" s="149">
        <f>'Cuadro 2'!H16/'Cuadro 2'!H24</f>
        <v>0.07277764681206711</v>
      </c>
      <c r="I13" s="149">
        <f>'Cuadro 2'!I16/'Cuadro 2'!I24</f>
        <v>0.043273051984367955</v>
      </c>
      <c r="J13" s="92">
        <f>'Cuadro 2'!J16/'Cuadro 2'!J24</f>
        <v>0.17490946224502837</v>
      </c>
      <c r="K13" s="92">
        <f>'Cuadro 2'!K16/'Cuadro 2'!K24</f>
        <v>0.10138697157322756</v>
      </c>
      <c r="L13" s="149">
        <f>'Cuadro 2'!L16/'Cuadro 2'!L24</f>
        <v>0.04995221886601486</v>
      </c>
      <c r="M13" s="149">
        <f>'Cuadro 2'!M16/'Cuadro 2'!M24</f>
        <v>0.18129426379987185</v>
      </c>
      <c r="N13" s="91"/>
      <c r="O13" s="91"/>
    </row>
    <row r="14" spans="1:15" ht="13.5" thickBot="1">
      <c r="A14" s="69" t="s">
        <v>46</v>
      </c>
      <c r="B14" s="313">
        <f>'Cuadro 2'!B18/'Cuadro 2'!B13</f>
        <v>0.31476027005993684</v>
      </c>
      <c r="C14" s="313">
        <f>'Cuadro 2'!C18/'Cuadro 2'!C13</f>
        <v>0.5080617625212676</v>
      </c>
      <c r="D14" s="314">
        <f>'Cuadro 2'!D18/'Cuadro 2'!D13</f>
        <v>0.39982898402795436</v>
      </c>
      <c r="E14" s="314">
        <f>'Cuadro 2'!E18/'Cuadro 2'!E13</f>
        <v>0.3890260334728212</v>
      </c>
      <c r="F14" s="315">
        <f>'Cuadro 2'!F18/'Cuadro 2'!F13</f>
        <v>0.29147447780446634</v>
      </c>
      <c r="G14" s="315">
        <f>'Cuadro 2'!G18/'Cuadro 2'!G13</f>
        <v>0.283022926098462</v>
      </c>
      <c r="H14" s="314">
        <f>'Cuadro 2'!H18/'Cuadro 2'!H13</f>
        <v>0.503658292219566</v>
      </c>
      <c r="I14" s="314">
        <f>'Cuadro 2'!I18/'Cuadro 2'!I13</f>
        <v>0.536969618104333</v>
      </c>
      <c r="J14" s="313">
        <f>'Cuadro 2'!J18/'Cuadro 2'!J13</f>
        <v>0.31682909287407823</v>
      </c>
      <c r="K14" s="313">
        <f>'Cuadro 2'!K18/'Cuadro 2'!K13</f>
        <v>0.5224365884984334</v>
      </c>
      <c r="L14" s="314">
        <f>'Cuadro 2'!L18/'Cuadro 2'!L13</f>
        <v>0.3878057691444572</v>
      </c>
      <c r="M14" s="314">
        <f>'Cuadro 2'!M18/'Cuadro 2'!M13</f>
        <v>0.3387323324653948</v>
      </c>
      <c r="N14" s="91"/>
      <c r="O14" s="91"/>
    </row>
    <row r="15" spans="1:15" ht="13.5" thickBot="1">
      <c r="A15" s="14" t="s">
        <v>47</v>
      </c>
      <c r="B15" s="316"/>
      <c r="C15" s="316"/>
      <c r="D15" s="317"/>
      <c r="E15" s="317"/>
      <c r="F15" s="318"/>
      <c r="G15" s="318"/>
      <c r="H15" s="317"/>
      <c r="I15" s="317"/>
      <c r="J15" s="316"/>
      <c r="K15" s="316"/>
      <c r="L15" s="317"/>
      <c r="M15" s="317"/>
      <c r="N15" s="98"/>
      <c r="O15" s="91"/>
    </row>
    <row r="16" spans="1:15" ht="12.75">
      <c r="A16" s="66" t="s">
        <v>59</v>
      </c>
      <c r="B16" s="319">
        <f>'Cuadro 2'!B13/'Cuadro 2'!B18</f>
        <v>3.1770210382955235</v>
      </c>
      <c r="C16" s="319">
        <f>'Cuadro 2'!C13/'Cuadro 2'!C18</f>
        <v>1.96826463585348</v>
      </c>
      <c r="D16" s="320">
        <f>'Cuadro 2'!D13/'Cuadro 2'!D18</f>
        <v>2.501069306996724</v>
      </c>
      <c r="E16" s="320">
        <f>'Cuadro 2'!E13/'Cuadro 2'!E18</f>
        <v>2.5705220575421044</v>
      </c>
      <c r="F16" s="321">
        <f>'Cuadro 2'!F13/'Cuadro 2'!F18</f>
        <v>3.430832117901051</v>
      </c>
      <c r="G16" s="321">
        <f>'Cuadro 2'!G13/'Cuadro 2'!G18</f>
        <v>3.533282670012767</v>
      </c>
      <c r="H16" s="320">
        <f>'Cuadro 2'!H13/'Cuadro 2'!H18</f>
        <v>1.9854731182784884</v>
      </c>
      <c r="I16" s="320">
        <f>'Cuadro 2'!I13/'Cuadro 2'!I18</f>
        <v>1.8623027565885495</v>
      </c>
      <c r="J16" s="319">
        <f>'Cuadro 2'!J13/'Cuadro 2'!J18</f>
        <v>3.1562758044995696</v>
      </c>
      <c r="K16" s="319">
        <f>'Cuadro 2'!K13/'Cuadro 2'!K18</f>
        <v>1.9141078975233348</v>
      </c>
      <c r="L16" s="320">
        <f>'Cuadro 2'!L13/'Cuadro 2'!L18</f>
        <v>2.578610427085991</v>
      </c>
      <c r="M16" s="320">
        <f>'Cuadro 2'!M13/'Cuadro 2'!M18</f>
        <v>2.952183491672325</v>
      </c>
      <c r="N16" s="91"/>
      <c r="O16" s="91"/>
    </row>
    <row r="17" spans="1:15" ht="13.5" thickBot="1">
      <c r="A17" s="69" t="s">
        <v>58</v>
      </c>
      <c r="B17" s="313">
        <f>'Cuadro 2'!B13/'Cuadro 2'!B15</f>
        <v>4.565828093251849</v>
      </c>
      <c r="C17" s="313">
        <f>'Cuadro 2'!C13/'Cuadro 2'!C15</f>
        <v>2.1909530699028394</v>
      </c>
      <c r="D17" s="314">
        <f>'Cuadro 2'!D13/'Cuadro 2'!D15</f>
        <v>2.729242318246361</v>
      </c>
      <c r="E17" s="314">
        <f>'Cuadro 2'!E13/'Cuadro 2'!E15</f>
        <v>3.221714762719371</v>
      </c>
      <c r="F17" s="315">
        <f>'Cuadro 2'!F13/'Cuadro 2'!F15</f>
        <v>3.430832117901051</v>
      </c>
      <c r="G17" s="315">
        <f>'Cuadro 2'!G13/'Cuadro 2'!G15</f>
        <v>3.533282670012767</v>
      </c>
      <c r="H17" s="314">
        <f>'Cuadro 2'!H13/'Cuadro 2'!H15</f>
        <v>2.1388740519430876</v>
      </c>
      <c r="I17" s="314">
        <f>'Cuadro 2'!I13/'Cuadro 2'!I15</f>
        <v>1.9344870988042795</v>
      </c>
      <c r="J17" s="313">
        <f>'Cuadro 2'!J13/'Cuadro 2'!J15</f>
        <v>4.704090069856857</v>
      </c>
      <c r="K17" s="313">
        <f>'Cuadro 2'!K13/'Cuadro 2'!K15</f>
        <v>2.13904372265885</v>
      </c>
      <c r="L17" s="314">
        <f>'Cuadro 2'!L13/'Cuadro 2'!L15</f>
        <v>2.8193554910930394</v>
      </c>
      <c r="M17" s="314">
        <f>'Cuadro 2'!M13/'Cuadro 2'!M15</f>
        <v>4.163538326552729</v>
      </c>
      <c r="N17" s="91"/>
      <c r="O17" s="91"/>
    </row>
    <row r="18" spans="1:15" ht="13.5" thickBot="1">
      <c r="A18" s="14" t="s">
        <v>49</v>
      </c>
      <c r="B18" s="316"/>
      <c r="C18" s="316"/>
      <c r="D18" s="317"/>
      <c r="E18" s="317"/>
      <c r="F18" s="318"/>
      <c r="G18" s="318"/>
      <c r="H18" s="317"/>
      <c r="I18" s="317"/>
      <c r="J18" s="316"/>
      <c r="K18" s="316"/>
      <c r="L18" s="317"/>
      <c r="M18" s="317"/>
      <c r="N18" s="98"/>
      <c r="O18" s="91"/>
    </row>
    <row r="19" spans="1:15" ht="12.75">
      <c r="A19" s="66" t="s">
        <v>50</v>
      </c>
      <c r="B19" s="319">
        <f>'Cuadro 2'!B11/'Cuadro 2'!B16</f>
        <v>2.6161637206504182</v>
      </c>
      <c r="C19" s="319">
        <f>'Cuadro 2'!C11/'Cuadro 2'!C16</f>
        <v>9.61633944469874</v>
      </c>
      <c r="D19" s="320">
        <f>'Cuadro 2'!D11/'Cuadro 2'!D16</f>
        <v>16.92493539063952</v>
      </c>
      <c r="E19" s="320">
        <f>'Cuadro 2'!E11/'Cuadro 2'!E16</f>
        <v>3.636221419127147</v>
      </c>
      <c r="F19" s="321" t="e">
        <f>'Cuadro 2'!F11/'Cuadro 2'!F16</f>
        <v>#DIV/0!</v>
      </c>
      <c r="G19" s="321" t="e">
        <f>'Cuadro 2'!G11/'Cuadro 2'!G16</f>
        <v>#DIV/0!</v>
      </c>
      <c r="H19" s="320">
        <f>'Cuadro 2'!H11/'Cuadro 2'!H16</f>
        <v>4.262302447435688</v>
      </c>
      <c r="I19" s="320">
        <f>'Cuadro 2'!I11/'Cuadro 2'!I16</f>
        <v>14.642829628296283</v>
      </c>
      <c r="J19" s="319">
        <f>'Cuadro 2'!J11/'Cuadro 2'!J16</f>
        <v>2.6161637206504182</v>
      </c>
      <c r="K19" s="319">
        <f>'Cuadro 2'!K11/'Cuadro 2'!K16</f>
        <v>9.61633944469874</v>
      </c>
      <c r="L19" s="320">
        <f>'Cuadro 2'!L11/'Cuadro 2'!L16</f>
        <v>18.69424759426129</v>
      </c>
      <c r="M19" s="320">
        <f>'Cuadro 2'!M11/'Cuadro 2'!M16</f>
        <v>2.868957903181213</v>
      </c>
      <c r="N19" s="91"/>
      <c r="O19" s="91"/>
    </row>
    <row r="20" spans="1:15" ht="13.5" thickBot="1">
      <c r="A20" s="69" t="s">
        <v>48</v>
      </c>
      <c r="B20" s="322">
        <f>'Cuadro 2'!B13/'Cuadro 2'!B18</f>
        <v>3.1770210382955235</v>
      </c>
      <c r="C20" s="322">
        <f>'Cuadro 2'!C13/'Cuadro 2'!C18</f>
        <v>1.96826463585348</v>
      </c>
      <c r="D20" s="323">
        <f>'Cuadro 2'!D13/'Cuadro 2'!D18</f>
        <v>2.501069306996724</v>
      </c>
      <c r="E20" s="323">
        <f>'Cuadro 2'!E13/'Cuadro 2'!E18</f>
        <v>2.5705220575421044</v>
      </c>
      <c r="F20" s="324">
        <f>'Cuadro 2'!F13/'Cuadro 2'!F18</f>
        <v>3.430832117901051</v>
      </c>
      <c r="G20" s="324">
        <f>'Cuadro 2'!G13/'Cuadro 2'!G18</f>
        <v>3.533282670012767</v>
      </c>
      <c r="H20" s="323">
        <f>'Cuadro 2'!H13/'Cuadro 2'!H18</f>
        <v>1.9854731182784884</v>
      </c>
      <c r="I20" s="323">
        <f>'Cuadro 2'!I13/'Cuadro 2'!I18</f>
        <v>1.8623027565885495</v>
      </c>
      <c r="J20" s="322">
        <f>'Cuadro 2'!J13/'Cuadro 2'!J18</f>
        <v>3.1562758044995696</v>
      </c>
      <c r="K20" s="322">
        <f>'Cuadro 2'!K13/'Cuadro 2'!K18</f>
        <v>1.9141078975233348</v>
      </c>
      <c r="L20" s="323">
        <f>'Cuadro 2'!L13/'Cuadro 2'!L18</f>
        <v>2.578610427085991</v>
      </c>
      <c r="M20" s="323">
        <f>'Cuadro 2'!M13/'Cuadro 2'!M18</f>
        <v>2.952183491672325</v>
      </c>
      <c r="N20" s="91"/>
      <c r="O20" s="91"/>
    </row>
    <row r="21" spans="1:13" ht="13.5" thickBot="1">
      <c r="A21" s="14" t="s">
        <v>51</v>
      </c>
      <c r="B21" s="316"/>
      <c r="C21" s="316"/>
      <c r="D21" s="317"/>
      <c r="E21" s="317"/>
      <c r="F21" s="318"/>
      <c r="G21" s="318"/>
      <c r="H21" s="317"/>
      <c r="I21" s="317"/>
      <c r="J21" s="316"/>
      <c r="K21" s="316"/>
      <c r="L21" s="317"/>
      <c r="M21" s="317"/>
    </row>
    <row r="22" spans="1:13" ht="13.5" thickBot="1">
      <c r="A22" s="70" t="s">
        <v>56</v>
      </c>
      <c r="B22" s="322">
        <f>'Cuadro 2'!B24/'Cuadro 2'!B13</f>
        <v>0.5758114755581856</v>
      </c>
      <c r="C22" s="322">
        <f>'Cuadro 2'!C24/'Cuadro 2'!C13</f>
        <v>0.5128382359548842</v>
      </c>
      <c r="D22" s="323">
        <f>'Cuadro 2'!D24/'Cuadro 2'!D13</f>
        <v>0.588614843302478</v>
      </c>
      <c r="E22" s="323">
        <f>'Cuadro 2'!E24/'Cuadro 2'!E13</f>
        <v>0.519708036520896</v>
      </c>
      <c r="F22" s="324">
        <f>'Cuadro 2'!F24/'Cuadro 2'!F13</f>
        <v>0.7085255221955337</v>
      </c>
      <c r="G22" s="324">
        <f>'Cuadro 2'!G24/'Cuadro 2'!G13</f>
        <v>0.7169770736239575</v>
      </c>
      <c r="H22" s="323">
        <f>'Cuadro 2'!H24/'Cuadro 2'!H13</f>
        <v>0.4963417077804339</v>
      </c>
      <c r="I22" s="323">
        <f>'Cuadro 2'!I24/'Cuadro 2'!I13</f>
        <v>0.46303023762975726</v>
      </c>
      <c r="J22" s="322">
        <f>'Cuadro 2'!J24/'Cuadro 2'!J13</f>
        <v>0.564020515455642</v>
      </c>
      <c r="K22" s="322">
        <f>'Cuadro 2'!K24/'Cuadro 2'!K13</f>
        <v>0.49979844107627697</v>
      </c>
      <c r="L22" s="323">
        <f>'Cuadro 2'!L24/'Cuadro 2'!L13</f>
        <v>0.5992998777660439</v>
      </c>
      <c r="M22" s="323">
        <f>'Cuadro 2'!M24/'Cuadro 2'!M13</f>
        <v>0.5389757612978098</v>
      </c>
    </row>
    <row r="23" spans="1:13" ht="13.5" thickBot="1">
      <c r="A23" s="14" t="s">
        <v>52</v>
      </c>
      <c r="B23" s="316"/>
      <c r="C23" s="316"/>
      <c r="D23" s="317"/>
      <c r="E23" s="317"/>
      <c r="F23" s="318"/>
      <c r="G23" s="318"/>
      <c r="H23" s="317"/>
      <c r="I23" s="317"/>
      <c r="J23" s="316"/>
      <c r="K23" s="316"/>
      <c r="L23" s="317"/>
      <c r="M23" s="317"/>
    </row>
    <row r="24" spans="1:13" ht="12.75">
      <c r="A24" s="66" t="s">
        <v>60</v>
      </c>
      <c r="B24" s="322">
        <f>'Cuadro 2'!B36/'Cuadro 2'!B28</f>
        <v>0.1862476155747194</v>
      </c>
      <c r="C24" s="322">
        <f>'Cuadro 2'!C36/'Cuadro 2'!C28</f>
        <v>0.35680374843500257</v>
      </c>
      <c r="D24" s="323">
        <f>'Cuadro 2'!D36/'Cuadro 2'!D28</f>
        <v>0.07635214763966687</v>
      </c>
      <c r="E24" s="323">
        <f>'Cuadro 2'!E36/'Cuadro 2'!E28</f>
        <v>0.19954535796112455</v>
      </c>
      <c r="F24" s="324">
        <f>'Cuadro 2'!F36/'Cuadro 2'!F28</f>
        <v>0.10284506999590437</v>
      </c>
      <c r="G24" s="324">
        <f>'Cuadro 2'!G36/'Cuadro 2'!G28</f>
        <v>0.12053387074688131</v>
      </c>
      <c r="H24" s="323">
        <f>'Cuadro 2'!H36/'Cuadro 2'!H28</f>
        <v>0.08955591849339146</v>
      </c>
      <c r="I24" s="323">
        <f>'Cuadro 2'!I36/'Cuadro 2'!I28</f>
        <v>0.13439990359359344</v>
      </c>
      <c r="J24" s="322">
        <f>'Cuadro 2'!J36/'Cuadro 2'!J28</f>
        <v>0.18994562570544185</v>
      </c>
      <c r="K24" s="322">
        <f>'Cuadro 2'!K36/'Cuadro 2'!K28</f>
        <v>0.3619371266169066</v>
      </c>
      <c r="L24" s="323">
        <f>'Cuadro 2'!L36/'Cuadro 2'!L28</f>
        <v>0.07465078979641278</v>
      </c>
      <c r="M24" s="323">
        <f>'Cuadro 2'!M36/'Cuadro 2'!M28</f>
        <v>0.21414150017427547</v>
      </c>
    </row>
    <row r="25" spans="1:13" ht="13.5" thickBot="1">
      <c r="A25" s="69" t="s">
        <v>53</v>
      </c>
      <c r="B25" s="322">
        <f>'Cuadro 2'!B37/'Cuadro 2'!B30</f>
        <v>0.16312837791578363</v>
      </c>
      <c r="C25" s="322">
        <f>'Cuadro 2'!C37/'Cuadro 2'!C30</f>
        <v>0.31779617683547245</v>
      </c>
      <c r="D25" s="323">
        <f>'Cuadro 2'!D37/'Cuadro 2'!D30</f>
        <v>0.01793376872683076</v>
      </c>
      <c r="E25" s="323">
        <f>'Cuadro 2'!E37/'Cuadro 2'!E30</f>
        <v>0.1516299565848635</v>
      </c>
      <c r="F25" s="324">
        <f>'Cuadro 2'!F37/'Cuadro 2'!F30</f>
        <v>0.06218549077891332</v>
      </c>
      <c r="G25" s="324">
        <f>'Cuadro 2'!G37/'Cuadro 2'!G30</f>
        <v>0.041173344344486294</v>
      </c>
      <c r="H25" s="323">
        <f>'Cuadro 2'!H37/'Cuadro 2'!H30</f>
        <v>0.0441949672466796</v>
      </c>
      <c r="I25" s="323">
        <f>'Cuadro 2'!I37/'Cuadro 2'!I30</f>
        <v>0.05862442477257674</v>
      </c>
      <c r="J25" s="322">
        <f>'Cuadro 2'!J37/'Cuadro 2'!J30</f>
        <v>0.1681287349876433</v>
      </c>
      <c r="K25" s="322">
        <f>'Cuadro 2'!K37/'Cuadro 2'!K30</f>
        <v>0.32343409515274124</v>
      </c>
      <c r="L25" s="323">
        <f>'Cuadro 2'!L37/'Cuadro 2'!L30</f>
        <v>0.014577698849530012</v>
      </c>
      <c r="M25" s="323">
        <f>'Cuadro 2'!M37/'Cuadro 2'!M30</f>
        <v>0.17110606274460244</v>
      </c>
    </row>
    <row r="26" spans="1:13" ht="13.5" thickBot="1">
      <c r="A26" s="14" t="s">
        <v>54</v>
      </c>
      <c r="B26" s="325"/>
      <c r="C26" s="325"/>
      <c r="D26" s="326"/>
      <c r="E26" s="326"/>
      <c r="F26" s="327"/>
      <c r="G26" s="327"/>
      <c r="H26" s="326"/>
      <c r="I26" s="326"/>
      <c r="J26" s="325"/>
      <c r="K26" s="325"/>
      <c r="L26" s="326"/>
      <c r="M26" s="326"/>
    </row>
    <row r="27" spans="1:13" ht="13.5" thickBot="1">
      <c r="A27" s="71" t="s">
        <v>55</v>
      </c>
      <c r="B27" s="328">
        <f>'Cuadro 2'!B10-'Cuadro 2'!B15</f>
        <v>14269468.921</v>
      </c>
      <c r="C27" s="328">
        <f>'Cuadro 2'!C10-'Cuadro 2'!C15</f>
        <v>9221118.461999997</v>
      </c>
      <c r="D27" s="329">
        <f>'Cuadro 2'!D10-'Cuadro 2'!D15</f>
        <v>8423373.055000007</v>
      </c>
      <c r="E27" s="329">
        <f>'Cuadro 2'!E10-'Cuadro 2'!E15</f>
        <v>10871803.079999998</v>
      </c>
      <c r="F27" s="330">
        <f>'Cuadro 2'!F10-'Cuadro 2'!F15</f>
        <v>2634746.498</v>
      </c>
      <c r="G27" s="330">
        <f>'Cuadro 2'!G10-'Cuadro 2'!G15</f>
        <v>2582952.262</v>
      </c>
      <c r="H27" s="329">
        <f>'Cuadro 2'!H10-'Cuadro 2'!H15</f>
        <v>3249212.4580000006</v>
      </c>
      <c r="I27" s="329">
        <f>'Cuadro 2'!I10-'Cuadro 2'!I15</f>
        <v>211205</v>
      </c>
      <c r="J27" s="328">
        <f>'Cuadro 2'!J10-'Cuadro 2'!J15</f>
        <v>11634722.422999999</v>
      </c>
      <c r="K27" s="328">
        <f>'Cuadro 2'!K10-'Cuadro 2'!K15</f>
        <v>6638166.199999999</v>
      </c>
      <c r="L27" s="329">
        <f>'Cuadro 2'!L10-'Cuadro 2'!L15</f>
        <v>5174160.597000007</v>
      </c>
      <c r="M27" s="329">
        <f>'Cuadro 2'!M10-'Cuadro 2'!M15</f>
        <v>10660598.08</v>
      </c>
    </row>
    <row r="28" spans="1:11" ht="12.75">
      <c r="A28" s="34" t="s">
        <v>72</v>
      </c>
      <c r="B28" s="34"/>
      <c r="C28" s="34"/>
      <c r="D28" s="34"/>
      <c r="E28" s="34"/>
      <c r="F28" s="15"/>
      <c r="G28" s="15"/>
      <c r="H28" s="15"/>
      <c r="I28" s="15"/>
      <c r="J28" s="15"/>
      <c r="K28" s="15"/>
    </row>
  </sheetData>
  <sheetProtection/>
  <mergeCells count="4">
    <mergeCell ref="A6:A7"/>
    <mergeCell ref="J6:M6"/>
    <mergeCell ref="F6:I6"/>
    <mergeCell ref="B6:E6"/>
  </mergeCells>
  <printOptions/>
  <pageMargins left="1.6535433070866143" right="0.9448818897637796" top="0.9055118110236221" bottom="0.3937007874015748" header="0" footer="0"/>
  <pageSetup horizontalDpi="300" verticalDpi="300" orientation="landscape" paperSize="45" scale="90" r:id="rId4"/>
  <drawing r:id="rId3"/>
  <legacyDrawing r:id="rId2"/>
  <oleObjects>
    <oleObject progId="MSPhotoEd.3" shapeId="3030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G38"/>
  <sheetViews>
    <sheetView zoomScalePageLayoutView="0" workbookViewId="0" topLeftCell="A4">
      <pane xSplit="1" ySplit="4" topLeftCell="B2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E21" sqref="AE21"/>
    </sheetView>
  </sheetViews>
  <sheetFormatPr defaultColWidth="11.421875" defaultRowHeight="12.75"/>
  <cols>
    <col min="1" max="1" width="42.140625" style="16" bestFit="1" customWidth="1"/>
    <col min="2" max="4" width="10.421875" style="16" bestFit="1" customWidth="1"/>
    <col min="5" max="5" width="11.421875" style="16" customWidth="1"/>
    <col min="6" max="9" width="8.8515625" style="16" bestFit="1" customWidth="1"/>
    <col min="10" max="10" width="5.00390625" style="16" bestFit="1" customWidth="1"/>
    <col min="11" max="13" width="10.421875" style="16" bestFit="1" customWidth="1"/>
    <col min="14" max="15" width="5.00390625" style="16" bestFit="1" customWidth="1"/>
    <col min="16" max="21" width="10.421875" style="16" bestFit="1" customWidth="1"/>
    <col min="22" max="23" width="5.00390625" style="16" bestFit="1" customWidth="1"/>
    <col min="24" max="25" width="10.421875" style="16" bestFit="1" customWidth="1"/>
    <col min="26" max="29" width="5.00390625" style="16" bestFit="1" customWidth="1"/>
    <col min="30" max="30" width="11.421875" style="16" customWidth="1"/>
    <col min="31" max="31" width="18.421875" style="16" bestFit="1" customWidth="1"/>
    <col min="32" max="16384" width="11.421875" style="16" customWidth="1"/>
  </cols>
  <sheetData>
    <row r="1" ht="12.75">
      <c r="A1" s="49" t="s">
        <v>78</v>
      </c>
    </row>
    <row r="2" ht="12.75">
      <c r="A2" s="207" t="s">
        <v>136</v>
      </c>
    </row>
    <row r="3" ht="12.75">
      <c r="A3" s="49" t="s">
        <v>64</v>
      </c>
    </row>
    <row r="4" ht="12.75">
      <c r="A4" s="49" t="s">
        <v>131</v>
      </c>
    </row>
    <row r="5" spans="1:29" ht="13.5" thickBot="1">
      <c r="A5" s="49" t="s">
        <v>63</v>
      </c>
      <c r="I5" s="16">
        <v>1</v>
      </c>
      <c r="M5" s="16">
        <v>2</v>
      </c>
      <c r="Q5" s="16">
        <v>3</v>
      </c>
      <c r="U5" s="16">
        <v>4</v>
      </c>
      <c r="Y5" s="16">
        <v>5</v>
      </c>
      <c r="AC5" s="16">
        <v>6</v>
      </c>
    </row>
    <row r="6" spans="1:29" ht="24" customHeight="1" thickBot="1">
      <c r="A6" s="194" t="s">
        <v>57</v>
      </c>
      <c r="B6" s="283" t="s">
        <v>9</v>
      </c>
      <c r="C6" s="284"/>
      <c r="D6" s="284"/>
      <c r="E6" s="285"/>
      <c r="F6" s="286" t="s">
        <v>137</v>
      </c>
      <c r="G6" s="284"/>
      <c r="H6" s="284"/>
      <c r="I6" s="285"/>
      <c r="J6" s="287" t="s">
        <v>120</v>
      </c>
      <c r="K6" s="288"/>
      <c r="L6" s="288"/>
      <c r="M6" s="289"/>
      <c r="N6" s="287" t="s">
        <v>133</v>
      </c>
      <c r="O6" s="288"/>
      <c r="P6" s="288"/>
      <c r="Q6" s="289"/>
      <c r="R6" s="286" t="s">
        <v>98</v>
      </c>
      <c r="S6" s="284"/>
      <c r="T6" s="284"/>
      <c r="U6" s="284"/>
      <c r="V6" s="286" t="s">
        <v>130</v>
      </c>
      <c r="W6" s="284"/>
      <c r="X6" s="284"/>
      <c r="Y6" s="284"/>
      <c r="Z6" s="286" t="s">
        <v>135</v>
      </c>
      <c r="AA6" s="284"/>
      <c r="AB6" s="284"/>
      <c r="AC6" s="284"/>
    </row>
    <row r="7" spans="1:29" ht="13.5" thickBot="1">
      <c r="A7" s="199"/>
      <c r="B7" s="195">
        <v>2008</v>
      </c>
      <c r="C7" s="196">
        <v>2009</v>
      </c>
      <c r="D7" s="196">
        <v>2010</v>
      </c>
      <c r="E7" s="196">
        <v>2011</v>
      </c>
      <c r="F7" s="197">
        <v>2008</v>
      </c>
      <c r="G7" s="197">
        <v>2009</v>
      </c>
      <c r="H7" s="197">
        <v>2010</v>
      </c>
      <c r="I7" s="197">
        <v>2011</v>
      </c>
      <c r="J7" s="198">
        <v>2008</v>
      </c>
      <c r="K7" s="198">
        <v>2009</v>
      </c>
      <c r="L7" s="198">
        <v>2010</v>
      </c>
      <c r="M7" s="198">
        <v>2011</v>
      </c>
      <c r="N7" s="198">
        <v>2008</v>
      </c>
      <c r="O7" s="198">
        <v>2009</v>
      </c>
      <c r="P7" s="198">
        <v>2010</v>
      </c>
      <c r="Q7" s="198">
        <v>2011</v>
      </c>
      <c r="R7" s="197">
        <v>2008</v>
      </c>
      <c r="S7" s="197">
        <v>2009</v>
      </c>
      <c r="T7" s="197">
        <v>2010</v>
      </c>
      <c r="U7" s="197">
        <v>2011</v>
      </c>
      <c r="V7" s="197">
        <v>2008</v>
      </c>
      <c r="W7" s="197">
        <v>2009</v>
      </c>
      <c r="X7" s="197">
        <v>2010</v>
      </c>
      <c r="Y7" s="197">
        <v>2011</v>
      </c>
      <c r="Z7" s="198">
        <v>2008</v>
      </c>
      <c r="AA7" s="198">
        <v>2009</v>
      </c>
      <c r="AB7" s="198">
        <v>2010</v>
      </c>
      <c r="AC7" s="198">
        <v>2011</v>
      </c>
    </row>
    <row r="8" spans="1:29" ht="12.75">
      <c r="A8" s="175" t="s">
        <v>11</v>
      </c>
      <c r="B8" s="200"/>
      <c r="C8" s="201"/>
      <c r="D8" s="201"/>
      <c r="E8" s="225"/>
      <c r="F8" s="201"/>
      <c r="G8" s="201"/>
      <c r="H8" s="201"/>
      <c r="I8" s="225"/>
      <c r="J8" s="201"/>
      <c r="K8" s="201"/>
      <c r="L8" s="223"/>
      <c r="M8" s="229"/>
      <c r="N8" s="201"/>
      <c r="O8" s="201"/>
      <c r="P8" s="223"/>
      <c r="Q8" s="229"/>
      <c r="R8" s="201"/>
      <c r="S8" s="201"/>
      <c r="T8" s="201"/>
      <c r="U8" s="225"/>
      <c r="V8" s="201"/>
      <c r="W8" s="201"/>
      <c r="X8" s="201"/>
      <c r="Y8" s="225"/>
      <c r="Z8" s="201"/>
      <c r="AA8" s="201"/>
      <c r="AB8" s="223"/>
      <c r="AC8" s="229"/>
    </row>
    <row r="9" spans="1:29" ht="12.75">
      <c r="A9" s="176" t="s">
        <v>12</v>
      </c>
      <c r="B9" s="55"/>
      <c r="C9" s="202"/>
      <c r="D9" s="202"/>
      <c r="E9" s="226"/>
      <c r="F9" s="202"/>
      <c r="G9" s="202"/>
      <c r="H9" s="202"/>
      <c r="I9" s="226"/>
      <c r="J9" s="202"/>
      <c r="K9" s="202"/>
      <c r="L9" s="224"/>
      <c r="M9" s="230"/>
      <c r="N9" s="202"/>
      <c r="O9" s="202"/>
      <c r="P9" s="224"/>
      <c r="Q9" s="230"/>
      <c r="R9" s="202"/>
      <c r="S9" s="202"/>
      <c r="T9" s="202"/>
      <c r="U9" s="226"/>
      <c r="V9" s="202"/>
      <c r="W9" s="202"/>
      <c r="X9" s="202"/>
      <c r="Y9" s="226"/>
      <c r="Z9" s="202"/>
      <c r="AA9" s="202"/>
      <c r="AB9" s="224"/>
      <c r="AC9" s="230"/>
    </row>
    <row r="10" spans="1:32" ht="12.75">
      <c r="A10" s="177" t="s">
        <v>13</v>
      </c>
      <c r="B10" s="203">
        <f aca="true" t="shared" si="0" ref="B10:C12">+F10+R10+Z10</f>
        <v>3718633.1550000003</v>
      </c>
      <c r="C10" s="204">
        <f t="shared" si="0"/>
        <v>3602559.072</v>
      </c>
      <c r="D10" s="204">
        <f aca="true" t="shared" si="1" ref="D10:E12">+H10+L10+P10+T10+X10+AB10</f>
        <v>7512724.696</v>
      </c>
      <c r="E10" s="227">
        <f t="shared" si="1"/>
        <v>7377595</v>
      </c>
      <c r="F10" s="204">
        <v>650937.481</v>
      </c>
      <c r="G10" s="204">
        <v>516523</v>
      </c>
      <c r="H10" s="204">
        <v>384245</v>
      </c>
      <c r="I10" s="227">
        <f>148450+103652</f>
        <v>252102</v>
      </c>
      <c r="J10" s="204">
        <v>0</v>
      </c>
      <c r="K10" s="204">
        <f>185955+946424</f>
        <v>1132379</v>
      </c>
      <c r="L10" s="205">
        <v>903521</v>
      </c>
      <c r="M10" s="231">
        <v>1474952</v>
      </c>
      <c r="N10" s="204">
        <v>0</v>
      </c>
      <c r="O10" s="204"/>
      <c r="P10" s="205">
        <v>1638885</v>
      </c>
      <c r="Q10" s="231">
        <v>1821597</v>
      </c>
      <c r="R10" s="205">
        <v>3067695.674</v>
      </c>
      <c r="S10" s="205">
        <v>3086036.072</v>
      </c>
      <c r="T10" s="204">
        <v>3514692.696</v>
      </c>
      <c r="U10" s="227">
        <v>2111065</v>
      </c>
      <c r="V10" s="205"/>
      <c r="W10" s="205"/>
      <c r="X10" s="204">
        <f>18073+28325+1024983</f>
        <v>1071381</v>
      </c>
      <c r="Y10" s="227">
        <f>104035+1596984+16860</f>
        <v>1717879</v>
      </c>
      <c r="Z10" s="204">
        <v>0</v>
      </c>
      <c r="AA10" s="204"/>
      <c r="AB10" s="205"/>
      <c r="AC10" s="231"/>
      <c r="AE10" t="s">
        <v>144</v>
      </c>
      <c r="AF10">
        <v>6</v>
      </c>
    </row>
    <row r="11" spans="1:32" ht="12.75">
      <c r="A11" s="177" t="s">
        <v>14</v>
      </c>
      <c r="B11" s="203">
        <f t="shared" si="0"/>
        <v>0</v>
      </c>
      <c r="C11" s="204">
        <f t="shared" si="0"/>
        <v>0</v>
      </c>
      <c r="D11" s="204">
        <f t="shared" si="1"/>
        <v>1404028</v>
      </c>
      <c r="E11" s="227">
        <f t="shared" si="1"/>
        <v>4067412</v>
      </c>
      <c r="F11" s="204">
        <v>0</v>
      </c>
      <c r="G11" s="204">
        <v>0</v>
      </c>
      <c r="H11" s="204">
        <v>0</v>
      </c>
      <c r="I11" s="227">
        <v>261946</v>
      </c>
      <c r="J11" s="204">
        <v>0</v>
      </c>
      <c r="K11" s="204">
        <v>536165</v>
      </c>
      <c r="L11" s="205">
        <v>482754</v>
      </c>
      <c r="M11" s="231">
        <v>415888</v>
      </c>
      <c r="N11" s="204">
        <v>0</v>
      </c>
      <c r="O11" s="204"/>
      <c r="P11" s="205">
        <v>809376</v>
      </c>
      <c r="Q11" s="231">
        <v>2046890</v>
      </c>
      <c r="R11" s="205">
        <v>0</v>
      </c>
      <c r="S11" s="205">
        <v>0</v>
      </c>
      <c r="T11" s="204">
        <v>0</v>
      </c>
      <c r="U11" s="227">
        <v>1222721</v>
      </c>
      <c r="V11" s="205"/>
      <c r="W11" s="205"/>
      <c r="X11" s="204">
        <v>111898</v>
      </c>
      <c r="Y11" s="227">
        <v>119967</v>
      </c>
      <c r="Z11" s="204">
        <v>0</v>
      </c>
      <c r="AA11" s="204"/>
      <c r="AB11" s="205"/>
      <c r="AC11" s="231"/>
      <c r="AE11" t="s">
        <v>145</v>
      </c>
      <c r="AF11">
        <v>0</v>
      </c>
    </row>
    <row r="12" spans="1:32" ht="12.75">
      <c r="A12" s="177" t="s">
        <v>15</v>
      </c>
      <c r="B12" s="203">
        <f t="shared" si="0"/>
        <v>0</v>
      </c>
      <c r="C12" s="204">
        <f t="shared" si="0"/>
        <v>0</v>
      </c>
      <c r="D12" s="204">
        <f t="shared" si="1"/>
        <v>202363</v>
      </c>
      <c r="E12" s="227">
        <f t="shared" si="1"/>
        <v>2418282</v>
      </c>
      <c r="F12" s="204">
        <v>0</v>
      </c>
      <c r="G12" s="204">
        <v>0</v>
      </c>
      <c r="H12" s="204">
        <v>0</v>
      </c>
      <c r="I12" s="227">
        <v>0</v>
      </c>
      <c r="J12" s="204">
        <v>0</v>
      </c>
      <c r="K12" s="204">
        <v>23066</v>
      </c>
      <c r="L12" s="205">
        <v>1400</v>
      </c>
      <c r="M12" s="231">
        <v>1400</v>
      </c>
      <c r="N12" s="204">
        <v>0</v>
      </c>
      <c r="O12" s="204"/>
      <c r="P12" s="205"/>
      <c r="Q12" s="231">
        <v>55859</v>
      </c>
      <c r="R12" s="205">
        <v>0</v>
      </c>
      <c r="S12" s="205">
        <v>0</v>
      </c>
      <c r="T12" s="204">
        <v>0</v>
      </c>
      <c r="U12" s="227">
        <v>683315</v>
      </c>
      <c r="V12" s="205"/>
      <c r="W12" s="205"/>
      <c r="X12" s="204">
        <f>1740+199223</f>
        <v>200963</v>
      </c>
      <c r="Y12" s="227">
        <f>1530086+147622</f>
        <v>1677708</v>
      </c>
      <c r="Z12" s="204">
        <v>0</v>
      </c>
      <c r="AA12" s="204"/>
      <c r="AB12" s="205"/>
      <c r="AC12" s="231"/>
      <c r="AE12" t="s">
        <v>144</v>
      </c>
      <c r="AF12">
        <f>+AF10-AF11</f>
        <v>6</v>
      </c>
    </row>
    <row r="13" spans="1:32" ht="12.75">
      <c r="A13" s="176" t="s">
        <v>16</v>
      </c>
      <c r="B13" s="178">
        <f aca="true" t="shared" si="2" ref="B13:AC13">SUM(B10:B12)</f>
        <v>3718633.1550000003</v>
      </c>
      <c r="C13" s="51">
        <f t="shared" si="2"/>
        <v>3602559.072</v>
      </c>
      <c r="D13" s="51">
        <f t="shared" si="2"/>
        <v>9119115.696</v>
      </c>
      <c r="E13" s="228">
        <f t="shared" si="2"/>
        <v>13863289</v>
      </c>
      <c r="F13" s="51">
        <f t="shared" si="2"/>
        <v>650937.481</v>
      </c>
      <c r="G13" s="51">
        <f t="shared" si="2"/>
        <v>516523</v>
      </c>
      <c r="H13" s="51">
        <f t="shared" si="2"/>
        <v>384245</v>
      </c>
      <c r="I13" s="228">
        <f t="shared" si="2"/>
        <v>514048</v>
      </c>
      <c r="J13" s="51">
        <f t="shared" si="2"/>
        <v>0</v>
      </c>
      <c r="K13" s="51">
        <f t="shared" si="2"/>
        <v>1691610</v>
      </c>
      <c r="L13" s="54">
        <f t="shared" si="2"/>
        <v>1387675</v>
      </c>
      <c r="M13" s="232">
        <f t="shared" si="2"/>
        <v>1892240</v>
      </c>
      <c r="N13" s="51">
        <f t="shared" si="2"/>
        <v>0</v>
      </c>
      <c r="O13" s="51">
        <f t="shared" si="2"/>
        <v>0</v>
      </c>
      <c r="P13" s="54">
        <f t="shared" si="2"/>
        <v>2448261</v>
      </c>
      <c r="Q13" s="232">
        <f t="shared" si="2"/>
        <v>3924346</v>
      </c>
      <c r="R13" s="54">
        <f t="shared" si="2"/>
        <v>3067695.674</v>
      </c>
      <c r="S13" s="54">
        <f t="shared" si="2"/>
        <v>3086036.072</v>
      </c>
      <c r="T13" s="51">
        <f t="shared" si="2"/>
        <v>3514692.696</v>
      </c>
      <c r="U13" s="228">
        <f t="shared" si="2"/>
        <v>4017101</v>
      </c>
      <c r="V13" s="54">
        <f t="shared" si="2"/>
        <v>0</v>
      </c>
      <c r="W13" s="54">
        <f t="shared" si="2"/>
        <v>0</v>
      </c>
      <c r="X13" s="51">
        <f t="shared" si="2"/>
        <v>1384242</v>
      </c>
      <c r="Y13" s="228">
        <f t="shared" si="2"/>
        <v>3515554</v>
      </c>
      <c r="Z13" s="51">
        <f t="shared" si="2"/>
        <v>0</v>
      </c>
      <c r="AA13" s="51">
        <f t="shared" si="2"/>
        <v>0</v>
      </c>
      <c r="AB13" s="54">
        <f t="shared" si="2"/>
        <v>0</v>
      </c>
      <c r="AC13" s="232">
        <f t="shared" si="2"/>
        <v>0</v>
      </c>
      <c r="AE13" t="s">
        <v>146</v>
      </c>
      <c r="AF13">
        <f>+AF12-AF14</f>
        <v>5</v>
      </c>
    </row>
    <row r="14" spans="1:33" ht="12.75">
      <c r="A14" s="176" t="s">
        <v>17</v>
      </c>
      <c r="B14" s="178"/>
      <c r="C14" s="51"/>
      <c r="D14" s="51"/>
      <c r="E14" s="228"/>
      <c r="F14" s="51"/>
      <c r="G14" s="51"/>
      <c r="H14" s="204"/>
      <c r="I14" s="227"/>
      <c r="J14" s="204"/>
      <c r="K14" s="204"/>
      <c r="L14" s="205"/>
      <c r="M14" s="231"/>
      <c r="N14" s="204"/>
      <c r="O14" s="204"/>
      <c r="P14" s="205"/>
      <c r="Q14" s="231"/>
      <c r="R14" s="54"/>
      <c r="S14" s="54"/>
      <c r="T14" s="204"/>
      <c r="U14" s="227"/>
      <c r="V14" s="54"/>
      <c r="W14" s="54"/>
      <c r="X14" s="204"/>
      <c r="Y14" s="227"/>
      <c r="Z14" s="204"/>
      <c r="AA14" s="204"/>
      <c r="AB14" s="205"/>
      <c r="AC14" s="231"/>
      <c r="AE14" t="s">
        <v>147</v>
      </c>
      <c r="AF14">
        <v>1</v>
      </c>
      <c r="AG14" s="16" t="s">
        <v>159</v>
      </c>
    </row>
    <row r="15" spans="1:32" ht="12.75">
      <c r="A15" s="177" t="s">
        <v>18</v>
      </c>
      <c r="B15" s="203">
        <f aca="true" t="shared" si="3" ref="B15:C17">+F15+R15+Z15</f>
        <v>1083886.6570000001</v>
      </c>
      <c r="C15" s="204">
        <f t="shared" si="3"/>
        <v>1019606.81</v>
      </c>
      <c r="D15" s="204">
        <f aca="true" t="shared" si="4" ref="D15:E17">+H15+L15+P15+T15+X15+AB15</f>
        <v>4263512.238</v>
      </c>
      <c r="E15" s="227">
        <f t="shared" si="4"/>
        <v>7166390</v>
      </c>
      <c r="F15" s="204">
        <f>241369.184+73947.441</f>
        <v>315316.625</v>
      </c>
      <c r="G15" s="204">
        <v>154687</v>
      </c>
      <c r="H15" s="204">
        <v>17929</v>
      </c>
      <c r="I15" s="227">
        <v>131479</v>
      </c>
      <c r="J15" s="204">
        <v>0</v>
      </c>
      <c r="K15" s="204">
        <v>168268</v>
      </c>
      <c r="L15" s="205">
        <v>102176</v>
      </c>
      <c r="M15" s="231">
        <v>125055</v>
      </c>
      <c r="N15" s="204">
        <v>0</v>
      </c>
      <c r="O15" s="204"/>
      <c r="P15" s="205">
        <v>2118626</v>
      </c>
      <c r="Q15" s="231">
        <v>3050857</v>
      </c>
      <c r="R15" s="205">
        <v>768570.032</v>
      </c>
      <c r="S15" s="205">
        <v>864919.81</v>
      </c>
      <c r="T15" s="204">
        <v>1211778.238</v>
      </c>
      <c r="U15" s="227">
        <v>928847</v>
      </c>
      <c r="V15" s="205"/>
      <c r="W15" s="205"/>
      <c r="X15" s="204">
        <v>813003</v>
      </c>
      <c r="Y15" s="227">
        <v>2930152</v>
      </c>
      <c r="Z15" s="204">
        <v>0</v>
      </c>
      <c r="AA15" s="204"/>
      <c r="AB15" s="205"/>
      <c r="AC15" s="231"/>
      <c r="AE15"/>
      <c r="AF15" s="256">
        <f>+AF13/AF12</f>
        <v>0.8333333333333334</v>
      </c>
    </row>
    <row r="16" spans="1:29" ht="12.75">
      <c r="A16" s="177" t="s">
        <v>19</v>
      </c>
      <c r="B16" s="203">
        <f t="shared" si="3"/>
        <v>0</v>
      </c>
      <c r="C16" s="204">
        <f t="shared" si="3"/>
        <v>0</v>
      </c>
      <c r="D16" s="204">
        <f t="shared" si="4"/>
        <v>329406</v>
      </c>
      <c r="E16" s="227">
        <f t="shared" si="4"/>
        <v>277775</v>
      </c>
      <c r="F16" s="204">
        <v>0</v>
      </c>
      <c r="G16" s="204">
        <v>0</v>
      </c>
      <c r="H16" s="204">
        <v>0</v>
      </c>
      <c r="I16" s="227">
        <v>0</v>
      </c>
      <c r="J16" s="204">
        <v>0</v>
      </c>
      <c r="K16" s="204">
        <v>443272</v>
      </c>
      <c r="L16" s="205">
        <v>329406</v>
      </c>
      <c r="M16" s="231">
        <v>277775</v>
      </c>
      <c r="N16" s="204">
        <v>0</v>
      </c>
      <c r="O16" s="204"/>
      <c r="P16" s="205"/>
      <c r="Q16" s="231"/>
      <c r="R16" s="205">
        <v>0</v>
      </c>
      <c r="S16" s="205">
        <v>0</v>
      </c>
      <c r="T16" s="204">
        <v>0</v>
      </c>
      <c r="U16" s="227">
        <v>0</v>
      </c>
      <c r="V16" s="205">
        <v>0</v>
      </c>
      <c r="W16" s="205">
        <v>0</v>
      </c>
      <c r="X16" s="204">
        <v>0</v>
      </c>
      <c r="Y16" s="227">
        <v>0</v>
      </c>
      <c r="Z16" s="204">
        <v>0</v>
      </c>
      <c r="AA16" s="204"/>
      <c r="AB16" s="205"/>
      <c r="AC16" s="231"/>
    </row>
    <row r="17" spans="1:29" ht="12.75">
      <c r="A17" s="177" t="s">
        <v>20</v>
      </c>
      <c r="B17" s="203">
        <f t="shared" si="3"/>
        <v>0</v>
      </c>
      <c r="C17" s="204">
        <f t="shared" si="3"/>
        <v>0</v>
      </c>
      <c r="D17" s="204">
        <f t="shared" si="4"/>
        <v>0</v>
      </c>
      <c r="E17" s="227">
        <f t="shared" si="4"/>
        <v>0</v>
      </c>
      <c r="F17" s="204">
        <v>0</v>
      </c>
      <c r="G17" s="204">
        <v>0</v>
      </c>
      <c r="H17" s="204">
        <v>0</v>
      </c>
      <c r="I17" s="227">
        <v>0</v>
      </c>
      <c r="J17" s="204">
        <v>0</v>
      </c>
      <c r="K17" s="204">
        <v>0</v>
      </c>
      <c r="L17" s="205">
        <v>0</v>
      </c>
      <c r="M17" s="231">
        <v>0</v>
      </c>
      <c r="N17" s="204">
        <v>0</v>
      </c>
      <c r="O17" s="204">
        <v>0</v>
      </c>
      <c r="P17" s="205">
        <v>0</v>
      </c>
      <c r="Q17" s="231">
        <v>0</v>
      </c>
      <c r="R17" s="205">
        <v>0</v>
      </c>
      <c r="S17" s="205">
        <v>0</v>
      </c>
      <c r="T17" s="204">
        <v>0</v>
      </c>
      <c r="U17" s="227">
        <v>0</v>
      </c>
      <c r="V17" s="205">
        <v>0</v>
      </c>
      <c r="W17" s="205">
        <v>0</v>
      </c>
      <c r="X17" s="204">
        <v>0</v>
      </c>
      <c r="Y17" s="227">
        <v>0</v>
      </c>
      <c r="Z17" s="204">
        <v>0</v>
      </c>
      <c r="AA17" s="204">
        <v>0</v>
      </c>
      <c r="AB17" s="205">
        <v>0</v>
      </c>
      <c r="AC17" s="231">
        <v>0</v>
      </c>
    </row>
    <row r="18" spans="1:29" ht="12.75">
      <c r="A18" s="176" t="s">
        <v>21</v>
      </c>
      <c r="B18" s="178">
        <f aca="true" t="shared" si="5" ref="B18:AC18">SUM(B15:B17)</f>
        <v>1083886.6570000001</v>
      </c>
      <c r="C18" s="51">
        <f t="shared" si="5"/>
        <v>1019606.81</v>
      </c>
      <c r="D18" s="51">
        <f t="shared" si="5"/>
        <v>4592918.238</v>
      </c>
      <c r="E18" s="228">
        <f t="shared" si="5"/>
        <v>7444165</v>
      </c>
      <c r="F18" s="51">
        <f t="shared" si="5"/>
        <v>315316.625</v>
      </c>
      <c r="G18" s="51">
        <f t="shared" si="5"/>
        <v>154687</v>
      </c>
      <c r="H18" s="51">
        <f t="shared" si="5"/>
        <v>17929</v>
      </c>
      <c r="I18" s="228">
        <f t="shared" si="5"/>
        <v>131479</v>
      </c>
      <c r="J18" s="51">
        <f t="shared" si="5"/>
        <v>0</v>
      </c>
      <c r="K18" s="51">
        <f t="shared" si="5"/>
        <v>611540</v>
      </c>
      <c r="L18" s="54">
        <f t="shared" si="5"/>
        <v>431582</v>
      </c>
      <c r="M18" s="232">
        <f t="shared" si="5"/>
        <v>402830</v>
      </c>
      <c r="N18" s="51">
        <f t="shared" si="5"/>
        <v>0</v>
      </c>
      <c r="O18" s="51">
        <f t="shared" si="5"/>
        <v>0</v>
      </c>
      <c r="P18" s="54">
        <f t="shared" si="5"/>
        <v>2118626</v>
      </c>
      <c r="Q18" s="232">
        <f t="shared" si="5"/>
        <v>3050857</v>
      </c>
      <c r="R18" s="54">
        <f t="shared" si="5"/>
        <v>768570.032</v>
      </c>
      <c r="S18" s="54">
        <f t="shared" si="5"/>
        <v>864919.81</v>
      </c>
      <c r="T18" s="51">
        <f t="shared" si="5"/>
        <v>1211778.238</v>
      </c>
      <c r="U18" s="228">
        <f t="shared" si="5"/>
        <v>928847</v>
      </c>
      <c r="V18" s="51">
        <f t="shared" si="5"/>
        <v>0</v>
      </c>
      <c r="W18" s="51">
        <f t="shared" si="5"/>
        <v>0</v>
      </c>
      <c r="X18" s="51">
        <f t="shared" si="5"/>
        <v>813003</v>
      </c>
      <c r="Y18" s="228">
        <f t="shared" si="5"/>
        <v>2930152</v>
      </c>
      <c r="Z18" s="51">
        <f t="shared" si="5"/>
        <v>0</v>
      </c>
      <c r="AA18" s="51">
        <f t="shared" si="5"/>
        <v>0</v>
      </c>
      <c r="AB18" s="54">
        <f t="shared" si="5"/>
        <v>0</v>
      </c>
      <c r="AC18" s="232">
        <f t="shared" si="5"/>
        <v>0</v>
      </c>
    </row>
    <row r="19" spans="1:29" ht="12.75">
      <c r="A19" s="176" t="s">
        <v>22</v>
      </c>
      <c r="B19" s="203"/>
      <c r="C19" s="204"/>
      <c r="D19" s="204"/>
      <c r="E19" s="227"/>
      <c r="F19" s="204"/>
      <c r="G19" s="204"/>
      <c r="H19" s="51"/>
      <c r="I19" s="228"/>
      <c r="J19" s="51"/>
      <c r="K19" s="51"/>
      <c r="L19" s="54"/>
      <c r="M19" s="232"/>
      <c r="N19" s="51"/>
      <c r="O19" s="51"/>
      <c r="P19" s="54"/>
      <c r="Q19" s="232"/>
      <c r="R19" s="205"/>
      <c r="S19" s="205"/>
      <c r="T19" s="51"/>
      <c r="U19" s="228"/>
      <c r="V19" s="205"/>
      <c r="W19" s="205"/>
      <c r="X19" s="51"/>
      <c r="Y19" s="228"/>
      <c r="Z19" s="51"/>
      <c r="AA19" s="51"/>
      <c r="AB19" s="54"/>
      <c r="AC19" s="232"/>
    </row>
    <row r="20" spans="1:29" ht="12.75">
      <c r="A20" s="177" t="s">
        <v>23</v>
      </c>
      <c r="B20" s="203">
        <f aca="true" t="shared" si="6" ref="B20:C23">+F20+R20+Z20</f>
        <v>584000</v>
      </c>
      <c r="C20" s="204">
        <f t="shared" si="6"/>
        <v>584000</v>
      </c>
      <c r="D20" s="204">
        <f aca="true" t="shared" si="7" ref="D20:E23">+H20+L20+P20+T20+X20+AB20</f>
        <v>1114000</v>
      </c>
      <c r="E20" s="227">
        <f t="shared" si="7"/>
        <v>1314000</v>
      </c>
      <c r="F20" s="204">
        <v>184000</v>
      </c>
      <c r="G20" s="204">
        <v>184000</v>
      </c>
      <c r="H20" s="204">
        <v>184000</v>
      </c>
      <c r="I20" s="227">
        <v>184000</v>
      </c>
      <c r="J20" s="204">
        <v>0</v>
      </c>
      <c r="K20" s="204">
        <v>20000</v>
      </c>
      <c r="L20" s="205">
        <v>20000</v>
      </c>
      <c r="M20" s="231">
        <v>20000</v>
      </c>
      <c r="N20" s="204">
        <v>0</v>
      </c>
      <c r="O20" s="204"/>
      <c r="P20" s="205">
        <v>100000</v>
      </c>
      <c r="Q20" s="231">
        <v>300000</v>
      </c>
      <c r="R20" s="205">
        <v>400000</v>
      </c>
      <c r="S20" s="205">
        <v>400000</v>
      </c>
      <c r="T20" s="204">
        <v>400000</v>
      </c>
      <c r="U20" s="227">
        <v>400000</v>
      </c>
      <c r="V20" s="205"/>
      <c r="W20" s="205"/>
      <c r="X20" s="204">
        <v>410000</v>
      </c>
      <c r="Y20" s="227">
        <v>410000</v>
      </c>
      <c r="Z20" s="204">
        <v>0</v>
      </c>
      <c r="AA20" s="204"/>
      <c r="AB20" s="205"/>
      <c r="AC20" s="231"/>
    </row>
    <row r="21" spans="1:29" s="119" customFormat="1" ht="12.75">
      <c r="A21" s="237" t="s">
        <v>24</v>
      </c>
      <c r="B21" s="238">
        <f t="shared" si="6"/>
        <v>164590.318</v>
      </c>
      <c r="C21" s="239">
        <f t="shared" si="6"/>
        <v>50350.713</v>
      </c>
      <c r="D21" s="208">
        <f t="shared" si="7"/>
        <v>463001.519</v>
      </c>
      <c r="E21" s="208">
        <f t="shared" si="7"/>
        <v>792072</v>
      </c>
      <c r="F21" s="239">
        <v>118965.779</v>
      </c>
      <c r="G21" s="239">
        <v>26215</v>
      </c>
      <c r="H21" s="239">
        <v>4480</v>
      </c>
      <c r="I21" s="239">
        <v>16253</v>
      </c>
      <c r="J21" s="239">
        <v>0</v>
      </c>
      <c r="K21" s="239">
        <v>229590</v>
      </c>
      <c r="L21" s="240">
        <v>248251</v>
      </c>
      <c r="M21" s="240">
        <v>325857</v>
      </c>
      <c r="N21" s="239">
        <v>0</v>
      </c>
      <c r="O21" s="239"/>
      <c r="P21" s="240">
        <v>78043</v>
      </c>
      <c r="Q21" s="240">
        <v>343854</v>
      </c>
      <c r="R21" s="240">
        <v>45624.539</v>
      </c>
      <c r="S21" s="240">
        <v>24135.713</v>
      </c>
      <c r="T21" s="239">
        <v>95340.519</v>
      </c>
      <c r="U21" s="239">
        <v>91852</v>
      </c>
      <c r="V21" s="240"/>
      <c r="W21" s="240"/>
      <c r="X21" s="239">
        <v>36887</v>
      </c>
      <c r="Y21" s="239">
        <v>14256</v>
      </c>
      <c r="Z21" s="239">
        <v>0</v>
      </c>
      <c r="AA21" s="239"/>
      <c r="AB21" s="240"/>
      <c r="AC21" s="240"/>
    </row>
    <row r="22" spans="1:29" ht="12.75">
      <c r="A22" s="177" t="s">
        <v>25</v>
      </c>
      <c r="B22" s="203">
        <f t="shared" si="6"/>
        <v>59202.302</v>
      </c>
      <c r="C22" s="204">
        <f t="shared" si="6"/>
        <v>107000</v>
      </c>
      <c r="D22" s="204">
        <f t="shared" si="7"/>
        <v>766775</v>
      </c>
      <c r="E22" s="227">
        <f t="shared" si="7"/>
        <v>1433422</v>
      </c>
      <c r="F22" s="204">
        <v>0</v>
      </c>
      <c r="G22" s="204">
        <v>107000</v>
      </c>
      <c r="H22" s="204">
        <v>133215</v>
      </c>
      <c r="I22" s="227">
        <v>137694</v>
      </c>
      <c r="J22" s="204">
        <v>0</v>
      </c>
      <c r="K22" s="204">
        <v>517750</v>
      </c>
      <c r="L22" s="205">
        <v>375112</v>
      </c>
      <c r="M22" s="231">
        <v>830823</v>
      </c>
      <c r="N22" s="204">
        <v>0</v>
      </c>
      <c r="O22" s="204"/>
      <c r="P22" s="205">
        <v>149092</v>
      </c>
      <c r="Q22" s="231">
        <v>227135</v>
      </c>
      <c r="R22" s="205">
        <v>59202.302</v>
      </c>
      <c r="S22" s="205">
        <v>0</v>
      </c>
      <c r="T22" s="204">
        <v>0</v>
      </c>
      <c r="U22" s="227">
        <v>95309</v>
      </c>
      <c r="V22" s="205"/>
      <c r="W22" s="205"/>
      <c r="X22" s="204">
        <v>109356</v>
      </c>
      <c r="Y22" s="227">
        <v>142461</v>
      </c>
      <c r="Z22" s="204">
        <v>0</v>
      </c>
      <c r="AA22" s="204"/>
      <c r="AB22" s="205"/>
      <c r="AC22" s="231"/>
    </row>
    <row r="23" spans="1:29" ht="12.75">
      <c r="A23" s="177" t="s">
        <v>26</v>
      </c>
      <c r="B23" s="203">
        <f t="shared" si="6"/>
        <v>1826953.878</v>
      </c>
      <c r="C23" s="204">
        <f t="shared" si="6"/>
        <v>1841601.548</v>
      </c>
      <c r="D23" s="204">
        <f t="shared" si="7"/>
        <v>2182420.9390000002</v>
      </c>
      <c r="E23" s="227">
        <f t="shared" si="7"/>
        <v>2879628</v>
      </c>
      <c r="F23" s="204">
        <f>5295.603+27359.474</f>
        <v>32655.076999999997</v>
      </c>
      <c r="G23" s="204">
        <f>39325+5296</f>
        <v>44621</v>
      </c>
      <c r="H23" s="204">
        <f>39325+5296</f>
        <v>44621</v>
      </c>
      <c r="I23" s="227">
        <f>39325+5295</f>
        <v>44620</v>
      </c>
      <c r="J23" s="204">
        <v>0</v>
      </c>
      <c r="K23" s="204">
        <f>9030+303700</f>
        <v>312730</v>
      </c>
      <c r="L23" s="205">
        <f>9030+303700</f>
        <v>312730</v>
      </c>
      <c r="M23" s="231">
        <f>9030+303700</f>
        <v>312730</v>
      </c>
      <c r="N23" s="204">
        <v>0</v>
      </c>
      <c r="O23" s="204"/>
      <c r="P23" s="205">
        <v>2500</v>
      </c>
      <c r="Q23" s="231">
        <v>2500</v>
      </c>
      <c r="R23" s="205">
        <f>351817.807+1325776.119+116704.875</f>
        <v>1794298.801</v>
      </c>
      <c r="S23" s="205">
        <f>119386.622+1325776.119+351817.807</f>
        <v>1796980.548</v>
      </c>
      <c r="T23" s="204">
        <f>129980.013+1325776.119+351817.807</f>
        <v>1807573.939</v>
      </c>
      <c r="U23" s="227">
        <f>683315+140185+1325776+351817</f>
        <v>2501093</v>
      </c>
      <c r="V23" s="205"/>
      <c r="W23" s="205"/>
      <c r="X23" s="204">
        <v>14996</v>
      </c>
      <c r="Y23" s="227">
        <v>18685</v>
      </c>
      <c r="Z23" s="204">
        <v>0</v>
      </c>
      <c r="AA23" s="204"/>
      <c r="AB23" s="205"/>
      <c r="AC23" s="231"/>
    </row>
    <row r="24" spans="1:29" ht="12.75">
      <c r="A24" s="176" t="s">
        <v>27</v>
      </c>
      <c r="B24" s="178">
        <f aca="true" t="shared" si="8" ref="B24:AC24">SUM(B20:B23)</f>
        <v>2634746.498</v>
      </c>
      <c r="C24" s="51">
        <f t="shared" si="8"/>
        <v>2582952.261</v>
      </c>
      <c r="D24" s="51">
        <f t="shared" si="8"/>
        <v>4526197.458000001</v>
      </c>
      <c r="E24" s="228">
        <f t="shared" si="8"/>
        <v>6419122</v>
      </c>
      <c r="F24" s="51">
        <f t="shared" si="8"/>
        <v>335620.85599999997</v>
      </c>
      <c r="G24" s="51">
        <f t="shared" si="8"/>
        <v>361836</v>
      </c>
      <c r="H24" s="51">
        <f t="shared" si="8"/>
        <v>366316</v>
      </c>
      <c r="I24" s="228">
        <f t="shared" si="8"/>
        <v>382567</v>
      </c>
      <c r="J24" s="51">
        <f t="shared" si="8"/>
        <v>0</v>
      </c>
      <c r="K24" s="51">
        <f t="shared" si="8"/>
        <v>1080070</v>
      </c>
      <c r="L24" s="54">
        <f t="shared" si="8"/>
        <v>956093</v>
      </c>
      <c r="M24" s="232">
        <f t="shared" si="8"/>
        <v>1489410</v>
      </c>
      <c r="N24" s="51">
        <f t="shared" si="8"/>
        <v>0</v>
      </c>
      <c r="O24" s="51">
        <f t="shared" si="8"/>
        <v>0</v>
      </c>
      <c r="P24" s="54">
        <f t="shared" si="8"/>
        <v>329635</v>
      </c>
      <c r="Q24" s="232">
        <f t="shared" si="8"/>
        <v>873489</v>
      </c>
      <c r="R24" s="54">
        <f t="shared" si="8"/>
        <v>2299125.642</v>
      </c>
      <c r="S24" s="54">
        <f t="shared" si="8"/>
        <v>2221116.261</v>
      </c>
      <c r="T24" s="51">
        <f t="shared" si="8"/>
        <v>2302914.458</v>
      </c>
      <c r="U24" s="228">
        <f t="shared" si="8"/>
        <v>3088254</v>
      </c>
      <c r="V24" s="54">
        <f t="shared" si="8"/>
        <v>0</v>
      </c>
      <c r="W24" s="54">
        <f t="shared" si="8"/>
        <v>0</v>
      </c>
      <c r="X24" s="51">
        <f t="shared" si="8"/>
        <v>571239</v>
      </c>
      <c r="Y24" s="228">
        <f t="shared" si="8"/>
        <v>585402</v>
      </c>
      <c r="Z24" s="51">
        <f t="shared" si="8"/>
        <v>0</v>
      </c>
      <c r="AA24" s="51">
        <f t="shared" si="8"/>
        <v>0</v>
      </c>
      <c r="AB24" s="54">
        <f t="shared" si="8"/>
        <v>0</v>
      </c>
      <c r="AC24" s="232">
        <f t="shared" si="8"/>
        <v>0</v>
      </c>
    </row>
    <row r="25" spans="1:29" ht="12.75">
      <c r="A25" s="176" t="s">
        <v>28</v>
      </c>
      <c r="B25" s="178">
        <f aca="true" t="shared" si="9" ref="B25:W25">+B24+B18</f>
        <v>3718633.1550000003</v>
      </c>
      <c r="C25" s="51">
        <f t="shared" si="9"/>
        <v>3602559.071</v>
      </c>
      <c r="D25" s="51">
        <f t="shared" si="9"/>
        <v>9119115.696</v>
      </c>
      <c r="E25" s="228">
        <f t="shared" si="9"/>
        <v>13863287</v>
      </c>
      <c r="F25" s="51">
        <f t="shared" si="9"/>
        <v>650937.4809999999</v>
      </c>
      <c r="G25" s="51">
        <f t="shared" si="9"/>
        <v>516523</v>
      </c>
      <c r="H25" s="51">
        <f t="shared" si="9"/>
        <v>384245</v>
      </c>
      <c r="I25" s="228">
        <f t="shared" si="9"/>
        <v>514046</v>
      </c>
      <c r="J25" s="51">
        <f t="shared" si="9"/>
        <v>0</v>
      </c>
      <c r="K25" s="51">
        <f t="shared" si="9"/>
        <v>1691610</v>
      </c>
      <c r="L25" s="54">
        <f t="shared" si="9"/>
        <v>1387675</v>
      </c>
      <c r="M25" s="232">
        <f t="shared" si="9"/>
        <v>1892240</v>
      </c>
      <c r="N25" s="51">
        <f t="shared" si="9"/>
        <v>0</v>
      </c>
      <c r="O25" s="51">
        <f t="shared" si="9"/>
        <v>0</v>
      </c>
      <c r="P25" s="54">
        <f t="shared" si="9"/>
        <v>2448261</v>
      </c>
      <c r="Q25" s="232">
        <f t="shared" si="9"/>
        <v>3924346</v>
      </c>
      <c r="R25" s="54">
        <f t="shared" si="9"/>
        <v>3067695.674</v>
      </c>
      <c r="S25" s="54">
        <f t="shared" si="9"/>
        <v>3086036.071</v>
      </c>
      <c r="T25" s="51">
        <f t="shared" si="9"/>
        <v>3514692.696</v>
      </c>
      <c r="U25" s="228">
        <f t="shared" si="9"/>
        <v>4017101</v>
      </c>
      <c r="V25" s="54">
        <f t="shared" si="9"/>
        <v>0</v>
      </c>
      <c r="W25" s="54">
        <f t="shared" si="9"/>
        <v>0</v>
      </c>
      <c r="X25" s="51">
        <f>+X18+X24</f>
        <v>1384242</v>
      </c>
      <c r="Y25" s="228">
        <f>+Y18+Y24</f>
        <v>3515554</v>
      </c>
      <c r="Z25" s="51">
        <f>+Z24+Z18</f>
        <v>0</v>
      </c>
      <c r="AA25" s="51">
        <f>+AA24+AA18</f>
        <v>0</v>
      </c>
      <c r="AB25" s="54">
        <f>+AB24+AB18</f>
        <v>0</v>
      </c>
      <c r="AC25" s="232">
        <f>+AC24+AC18</f>
        <v>0</v>
      </c>
    </row>
    <row r="26" spans="1:29" ht="12.75">
      <c r="A26" s="176" t="s">
        <v>29</v>
      </c>
      <c r="B26" s="203"/>
      <c r="C26" s="204"/>
      <c r="D26" s="204"/>
      <c r="E26" s="227"/>
      <c r="F26" s="204"/>
      <c r="G26" s="204"/>
      <c r="H26" s="51"/>
      <c r="I26" s="228"/>
      <c r="J26" s="51"/>
      <c r="K26" s="51"/>
      <c r="L26" s="54"/>
      <c r="M26" s="232"/>
      <c r="N26" s="51"/>
      <c r="O26" s="51"/>
      <c r="P26" s="54"/>
      <c r="Q26" s="232"/>
      <c r="R26" s="205"/>
      <c r="S26" s="205"/>
      <c r="T26" s="51"/>
      <c r="U26" s="228"/>
      <c r="V26" s="205"/>
      <c r="W26" s="205"/>
      <c r="X26" s="51"/>
      <c r="Y26" s="228"/>
      <c r="Z26" s="51"/>
      <c r="AA26" s="51"/>
      <c r="AB26" s="54"/>
      <c r="AC26" s="232"/>
    </row>
    <row r="27" spans="1:29" ht="12.75">
      <c r="A27" s="176" t="s">
        <v>30</v>
      </c>
      <c r="B27" s="203"/>
      <c r="C27" s="204"/>
      <c r="D27" s="204"/>
      <c r="E27" s="227"/>
      <c r="F27" s="204"/>
      <c r="G27" s="204"/>
      <c r="H27" s="51"/>
      <c r="I27" s="228"/>
      <c r="J27" s="51"/>
      <c r="K27" s="51"/>
      <c r="L27" s="54"/>
      <c r="M27" s="232"/>
      <c r="N27" s="51"/>
      <c r="O27" s="51"/>
      <c r="P27" s="54"/>
      <c r="Q27" s="232"/>
      <c r="R27" s="205"/>
      <c r="S27" s="205"/>
      <c r="T27" s="51"/>
      <c r="U27" s="228"/>
      <c r="V27" s="205"/>
      <c r="W27" s="205"/>
      <c r="X27" s="51"/>
      <c r="Y27" s="228"/>
      <c r="Z27" s="51"/>
      <c r="AA27" s="51"/>
      <c r="AB27" s="54"/>
      <c r="AC27" s="232"/>
    </row>
    <row r="28" spans="1:29" ht="12.75">
      <c r="A28" s="177" t="s">
        <v>31</v>
      </c>
      <c r="B28" s="203">
        <f>+F28+R28+Z28</f>
        <v>2213412.573</v>
      </c>
      <c r="C28" s="204">
        <f>+G28+S28+AA28</f>
        <v>1221365.066</v>
      </c>
      <c r="D28" s="204">
        <f>+H28+L28+P28+T28+X28+AB28</f>
        <v>8524162.555</v>
      </c>
      <c r="E28" s="227">
        <f>+I28+M28+Q28+U28+Y28+AC28</f>
        <v>11650678</v>
      </c>
      <c r="F28" s="204">
        <v>402500.63</v>
      </c>
      <c r="G28" s="204">
        <v>293285</v>
      </c>
      <c r="H28" s="204">
        <v>120742</v>
      </c>
      <c r="I28" s="227">
        <v>495189</v>
      </c>
      <c r="J28" s="204">
        <v>0</v>
      </c>
      <c r="K28" s="204">
        <v>1575383</v>
      </c>
      <c r="L28" s="205">
        <v>1375339</v>
      </c>
      <c r="M28" s="231">
        <v>2793044</v>
      </c>
      <c r="N28" s="204">
        <v>0</v>
      </c>
      <c r="O28" s="204"/>
      <c r="P28" s="205">
        <v>4526076</v>
      </c>
      <c r="Q28" s="231">
        <v>4852303</v>
      </c>
      <c r="R28" s="205">
        <v>1810911.943</v>
      </c>
      <c r="S28" s="205">
        <v>928080.066</v>
      </c>
      <c r="T28" s="204">
        <v>1223310.555</v>
      </c>
      <c r="U28" s="227">
        <v>1894835</v>
      </c>
      <c r="V28" s="205"/>
      <c r="W28" s="205"/>
      <c r="X28" s="204">
        <v>1278695</v>
      </c>
      <c r="Y28" s="227">
        <v>1615307</v>
      </c>
      <c r="Z28" s="204">
        <v>0</v>
      </c>
      <c r="AA28" s="204"/>
      <c r="AB28" s="205"/>
      <c r="AC28" s="231"/>
    </row>
    <row r="29" spans="1:29" ht="12.75">
      <c r="A29" s="177" t="s">
        <v>32</v>
      </c>
      <c r="B29" s="203">
        <f>+F29+R29+Z29</f>
        <v>433351.43799999997</v>
      </c>
      <c r="C29" s="204">
        <f>+G29+S29+AA29</f>
        <v>1530.81</v>
      </c>
      <c r="D29" s="204">
        <f>+H29+L29+P29+T29+X29+AB29</f>
        <v>98505.245</v>
      </c>
      <c r="E29" s="227">
        <f>+I29+M29+Q29+U29+Y29+AC29</f>
        <v>26008</v>
      </c>
      <c r="F29" s="204">
        <v>433307.05</v>
      </c>
      <c r="G29" s="204">
        <v>0</v>
      </c>
      <c r="H29" s="204">
        <v>0</v>
      </c>
      <c r="I29" s="227">
        <v>0</v>
      </c>
      <c r="J29" s="204">
        <v>0</v>
      </c>
      <c r="K29" s="204">
        <v>0</v>
      </c>
      <c r="L29" s="205"/>
      <c r="M29" s="231"/>
      <c r="N29" s="204">
        <v>0</v>
      </c>
      <c r="O29" s="204">
        <v>0</v>
      </c>
      <c r="P29" s="205">
        <v>60282</v>
      </c>
      <c r="Q29" s="231">
        <v>15248</v>
      </c>
      <c r="R29" s="205">
        <v>44.388</v>
      </c>
      <c r="S29" s="205">
        <v>1530.81</v>
      </c>
      <c r="T29" s="204">
        <v>1767.245</v>
      </c>
      <c r="U29" s="227">
        <v>3076</v>
      </c>
      <c r="V29" s="205"/>
      <c r="W29" s="205"/>
      <c r="X29" s="204">
        <v>36456</v>
      </c>
      <c r="Y29" s="227">
        <v>7684</v>
      </c>
      <c r="Z29" s="204">
        <v>0</v>
      </c>
      <c r="AA29" s="204">
        <v>0</v>
      </c>
      <c r="AB29" s="205"/>
      <c r="AC29" s="231"/>
    </row>
    <row r="30" spans="1:29" ht="12.75">
      <c r="A30" s="176" t="s">
        <v>33</v>
      </c>
      <c r="B30" s="178">
        <f aca="true" t="shared" si="10" ref="B30:AC30">SUM(B28:B29)</f>
        <v>2646764.011</v>
      </c>
      <c r="C30" s="51">
        <f t="shared" si="10"/>
        <v>1222895.8760000002</v>
      </c>
      <c r="D30" s="51">
        <f t="shared" si="10"/>
        <v>8622667.799999999</v>
      </c>
      <c r="E30" s="228">
        <f t="shared" si="10"/>
        <v>11676686</v>
      </c>
      <c r="F30" s="51">
        <f t="shared" si="10"/>
        <v>835807.6799999999</v>
      </c>
      <c r="G30" s="51">
        <f t="shared" si="10"/>
        <v>293285</v>
      </c>
      <c r="H30" s="51">
        <f t="shared" si="10"/>
        <v>120742</v>
      </c>
      <c r="I30" s="228">
        <f t="shared" si="10"/>
        <v>495189</v>
      </c>
      <c r="J30" s="51">
        <f t="shared" si="10"/>
        <v>0</v>
      </c>
      <c r="K30" s="51">
        <f t="shared" si="10"/>
        <v>1575383</v>
      </c>
      <c r="L30" s="54">
        <f t="shared" si="10"/>
        <v>1375339</v>
      </c>
      <c r="M30" s="232">
        <f t="shared" si="10"/>
        <v>2793044</v>
      </c>
      <c r="N30" s="51">
        <f t="shared" si="10"/>
        <v>0</v>
      </c>
      <c r="O30" s="51">
        <f t="shared" si="10"/>
        <v>0</v>
      </c>
      <c r="P30" s="54">
        <f t="shared" si="10"/>
        <v>4586358</v>
      </c>
      <c r="Q30" s="232">
        <f t="shared" si="10"/>
        <v>4867551</v>
      </c>
      <c r="R30" s="54">
        <f t="shared" si="10"/>
        <v>1810956.331</v>
      </c>
      <c r="S30" s="54">
        <f t="shared" si="10"/>
        <v>929610.876</v>
      </c>
      <c r="T30" s="51">
        <f t="shared" si="10"/>
        <v>1225077.8</v>
      </c>
      <c r="U30" s="228">
        <f t="shared" si="10"/>
        <v>1897911</v>
      </c>
      <c r="V30" s="54">
        <f t="shared" si="10"/>
        <v>0</v>
      </c>
      <c r="W30" s="54">
        <f t="shared" si="10"/>
        <v>0</v>
      </c>
      <c r="X30" s="51">
        <f t="shared" si="10"/>
        <v>1315151</v>
      </c>
      <c r="Y30" s="228">
        <f t="shared" si="10"/>
        <v>1622991</v>
      </c>
      <c r="Z30" s="51">
        <f t="shared" si="10"/>
        <v>0</v>
      </c>
      <c r="AA30" s="51">
        <f t="shared" si="10"/>
        <v>0</v>
      </c>
      <c r="AB30" s="54">
        <f t="shared" si="10"/>
        <v>0</v>
      </c>
      <c r="AC30" s="232">
        <f t="shared" si="10"/>
        <v>0</v>
      </c>
    </row>
    <row r="31" spans="1:29" ht="12.75">
      <c r="A31" s="176" t="s">
        <v>36</v>
      </c>
      <c r="B31" s="203"/>
      <c r="C31" s="204"/>
      <c r="D31" s="204"/>
      <c r="E31" s="227"/>
      <c r="F31" s="204"/>
      <c r="G31" s="204"/>
      <c r="H31" s="51"/>
      <c r="I31" s="228"/>
      <c r="J31" s="51"/>
      <c r="K31" s="51"/>
      <c r="L31" s="54"/>
      <c r="M31" s="232"/>
      <c r="N31" s="51"/>
      <c r="O31" s="51"/>
      <c r="P31" s="54"/>
      <c r="Q31" s="232"/>
      <c r="R31" s="205"/>
      <c r="S31" s="205"/>
      <c r="T31" s="51"/>
      <c r="U31" s="228"/>
      <c r="V31" s="205"/>
      <c r="W31" s="205"/>
      <c r="X31" s="51"/>
      <c r="Y31" s="228"/>
      <c r="Z31" s="51"/>
      <c r="AA31" s="51"/>
      <c r="AB31" s="54"/>
      <c r="AC31" s="232"/>
    </row>
    <row r="32" spans="1:29" ht="12.75">
      <c r="A32" s="177" t="s">
        <v>62</v>
      </c>
      <c r="B32" s="203">
        <f aca="true" t="shared" si="11" ref="B32:C34">+F32+R32+Z32</f>
        <v>1985774.002</v>
      </c>
      <c r="C32" s="204">
        <f t="shared" si="11"/>
        <v>1074149.207</v>
      </c>
      <c r="D32" s="204">
        <f aca="true" t="shared" si="12" ref="D32:E34">+H32+L32+P32+T32+X32+AB32</f>
        <v>7760773.348</v>
      </c>
      <c r="E32" s="227">
        <f t="shared" si="12"/>
        <v>10084828</v>
      </c>
      <c r="F32" s="204">
        <v>307406.464</v>
      </c>
      <c r="G32" s="204">
        <f>14655+231478+4337</f>
        <v>250470</v>
      </c>
      <c r="H32" s="204">
        <v>107752</v>
      </c>
      <c r="I32" s="227">
        <f>307223+161563</f>
        <v>468786</v>
      </c>
      <c r="J32" s="204">
        <v>0</v>
      </c>
      <c r="K32" s="204">
        <f>845551.387+500241</f>
        <v>1345792.387</v>
      </c>
      <c r="L32" s="205">
        <f>319550+807538</f>
        <v>1127088</v>
      </c>
      <c r="M32" s="231">
        <f>1235952+1231235</f>
        <v>2467187</v>
      </c>
      <c r="N32" s="204">
        <v>0</v>
      </c>
      <c r="O32" s="204"/>
      <c r="P32" s="205">
        <f>3105719+1266587</f>
        <v>4372306</v>
      </c>
      <c r="Q32" s="231">
        <f>2506029+1646742</f>
        <v>4152771</v>
      </c>
      <c r="R32" s="205">
        <f>1043760.337+634607.201</f>
        <v>1678367.5380000002</v>
      </c>
      <c r="S32" s="205">
        <f>428672.707+395006.5</f>
        <v>823679.2069999999</v>
      </c>
      <c r="T32" s="204">
        <f>729946.911+290879.437</f>
        <v>1020826.348</v>
      </c>
      <c r="U32" s="227">
        <f>1237248+413813</f>
        <v>1651061</v>
      </c>
      <c r="V32" s="205"/>
      <c r="W32" s="205"/>
      <c r="X32" s="204">
        <v>1132801</v>
      </c>
      <c r="Y32" s="227">
        <v>1345023</v>
      </c>
      <c r="Z32" s="204">
        <v>0</v>
      </c>
      <c r="AA32" s="204"/>
      <c r="AB32" s="205"/>
      <c r="AC32" s="231"/>
    </row>
    <row r="33" spans="1:29" ht="12.75">
      <c r="A33" s="177" t="s">
        <v>37</v>
      </c>
      <c r="B33" s="203">
        <f t="shared" si="11"/>
        <v>436399.68999999994</v>
      </c>
      <c r="C33" s="204">
        <f t="shared" si="11"/>
        <v>49793.956</v>
      </c>
      <c r="D33" s="204">
        <f t="shared" si="12"/>
        <v>229862.231</v>
      </c>
      <c r="E33" s="227">
        <f t="shared" si="12"/>
        <v>487070</v>
      </c>
      <c r="F33" s="204">
        <f>344934.278+4501.159</f>
        <v>349435.437</v>
      </c>
      <c r="G33" s="204">
        <v>0</v>
      </c>
      <c r="H33" s="204">
        <v>2510</v>
      </c>
      <c r="I33" s="227">
        <v>1850</v>
      </c>
      <c r="J33" s="204">
        <v>0</v>
      </c>
      <c r="K33" s="204">
        <v>0</v>
      </c>
      <c r="L33" s="205">
        <v>0</v>
      </c>
      <c r="M33" s="231">
        <v>0</v>
      </c>
      <c r="N33" s="204">
        <v>0</v>
      </c>
      <c r="O33" s="204"/>
      <c r="P33" s="205">
        <v>81420</v>
      </c>
      <c r="Q33" s="231">
        <v>194208</v>
      </c>
      <c r="R33" s="205">
        <f>53629.86+28265+5069.393</f>
        <v>86964.253</v>
      </c>
      <c r="S33" s="205">
        <f>44085.727+5708.229</f>
        <v>49793.956</v>
      </c>
      <c r="T33" s="204">
        <v>41008.231</v>
      </c>
      <c r="U33" s="227">
        <f>70911+10206</f>
        <v>81117</v>
      </c>
      <c r="V33" s="205"/>
      <c r="W33" s="205"/>
      <c r="X33" s="204">
        <v>104924</v>
      </c>
      <c r="Y33" s="227">
        <v>209895</v>
      </c>
      <c r="Z33" s="204">
        <v>0</v>
      </c>
      <c r="AA33" s="204"/>
      <c r="AB33" s="205"/>
      <c r="AC33" s="231"/>
    </row>
    <row r="34" spans="1:29" ht="12.75">
      <c r="A34" s="177" t="s">
        <v>38</v>
      </c>
      <c r="B34" s="203">
        <f t="shared" si="11"/>
        <v>60000</v>
      </c>
      <c r="C34" s="204">
        <f t="shared" si="11"/>
        <v>48602</v>
      </c>
      <c r="D34" s="204">
        <f t="shared" si="12"/>
        <v>250953.7</v>
      </c>
      <c r="E34" s="227">
        <f t="shared" si="12"/>
        <v>420249</v>
      </c>
      <c r="F34" s="204">
        <v>60000</v>
      </c>
      <c r="G34" s="204">
        <v>16600</v>
      </c>
      <c r="H34" s="204">
        <v>6000</v>
      </c>
      <c r="I34" s="227">
        <v>8300</v>
      </c>
      <c r="J34" s="204">
        <v>0</v>
      </c>
      <c r="K34" s="204">
        <v>0</v>
      </c>
      <c r="L34" s="205">
        <v>81923</v>
      </c>
      <c r="M34" s="231">
        <v>107533</v>
      </c>
      <c r="N34" s="204">
        <v>0</v>
      </c>
      <c r="O34" s="204"/>
      <c r="P34" s="205">
        <v>54588</v>
      </c>
      <c r="Q34" s="231">
        <v>176718</v>
      </c>
      <c r="R34" s="205">
        <v>0</v>
      </c>
      <c r="S34" s="205">
        <v>32002</v>
      </c>
      <c r="T34" s="204">
        <f>57309.309+10593.391</f>
        <v>67902.7</v>
      </c>
      <c r="U34" s="227">
        <v>73882</v>
      </c>
      <c r="V34" s="205"/>
      <c r="W34" s="205"/>
      <c r="X34" s="204">
        <v>40540</v>
      </c>
      <c r="Y34" s="227">
        <v>53816</v>
      </c>
      <c r="Z34" s="204">
        <v>0</v>
      </c>
      <c r="AA34" s="204"/>
      <c r="AB34" s="205"/>
      <c r="AC34" s="231"/>
    </row>
    <row r="35" spans="1:29" ht="12.75">
      <c r="A35" s="176" t="s">
        <v>39</v>
      </c>
      <c r="B35" s="178">
        <f aca="true" t="shared" si="13" ref="B35:AC35">SUM(B32:B34)</f>
        <v>2482173.692</v>
      </c>
      <c r="C35" s="51">
        <f t="shared" si="13"/>
        <v>1172545.163</v>
      </c>
      <c r="D35" s="51">
        <f t="shared" si="13"/>
        <v>8241589.279</v>
      </c>
      <c r="E35" s="228">
        <f t="shared" si="13"/>
        <v>10992147</v>
      </c>
      <c r="F35" s="51">
        <f t="shared" si="13"/>
        <v>716841.901</v>
      </c>
      <c r="G35" s="51">
        <f t="shared" si="13"/>
        <v>267070</v>
      </c>
      <c r="H35" s="51">
        <f t="shared" si="13"/>
        <v>116262</v>
      </c>
      <c r="I35" s="228">
        <f t="shared" si="13"/>
        <v>478936</v>
      </c>
      <c r="J35" s="51">
        <f t="shared" si="13"/>
        <v>0</v>
      </c>
      <c r="K35" s="51">
        <f t="shared" si="13"/>
        <v>1345792.387</v>
      </c>
      <c r="L35" s="54">
        <f t="shared" si="13"/>
        <v>1209011</v>
      </c>
      <c r="M35" s="232">
        <f t="shared" si="13"/>
        <v>2574720</v>
      </c>
      <c r="N35" s="51">
        <f t="shared" si="13"/>
        <v>0</v>
      </c>
      <c r="O35" s="51">
        <f t="shared" si="13"/>
        <v>0</v>
      </c>
      <c r="P35" s="54">
        <f t="shared" si="13"/>
        <v>4508314</v>
      </c>
      <c r="Q35" s="232">
        <f t="shared" si="13"/>
        <v>4523697</v>
      </c>
      <c r="R35" s="54">
        <f t="shared" si="13"/>
        <v>1765331.7910000002</v>
      </c>
      <c r="S35" s="54">
        <f t="shared" si="13"/>
        <v>905475.163</v>
      </c>
      <c r="T35" s="51">
        <f t="shared" si="13"/>
        <v>1129737.2789999999</v>
      </c>
      <c r="U35" s="228">
        <f t="shared" si="13"/>
        <v>1806060</v>
      </c>
      <c r="V35" s="54">
        <f t="shared" si="13"/>
        <v>0</v>
      </c>
      <c r="W35" s="54">
        <f t="shared" si="13"/>
        <v>0</v>
      </c>
      <c r="X35" s="51">
        <f t="shared" si="13"/>
        <v>1278265</v>
      </c>
      <c r="Y35" s="228">
        <f t="shared" si="13"/>
        <v>1608734</v>
      </c>
      <c r="Z35" s="51">
        <f t="shared" si="13"/>
        <v>0</v>
      </c>
      <c r="AA35" s="51">
        <f t="shared" si="13"/>
        <v>0</v>
      </c>
      <c r="AB35" s="54">
        <f t="shared" si="13"/>
        <v>0</v>
      </c>
      <c r="AC35" s="232">
        <f t="shared" si="13"/>
        <v>0</v>
      </c>
    </row>
    <row r="36" spans="1:29" ht="12.75">
      <c r="A36" s="241" t="s">
        <v>40</v>
      </c>
      <c r="B36" s="242">
        <f aca="true" t="shared" si="14" ref="B36:AC36">+B28-B32</f>
        <v>227638.57099999976</v>
      </c>
      <c r="C36" s="243">
        <f t="shared" si="14"/>
        <v>147215.85900000017</v>
      </c>
      <c r="D36" s="243">
        <f t="shared" si="14"/>
        <v>763389.2069999995</v>
      </c>
      <c r="E36" s="243">
        <f t="shared" si="14"/>
        <v>1565850</v>
      </c>
      <c r="F36" s="243">
        <f t="shared" si="14"/>
        <v>95094.16600000003</v>
      </c>
      <c r="G36" s="243">
        <f t="shared" si="14"/>
        <v>42815</v>
      </c>
      <c r="H36" s="243">
        <f t="shared" si="14"/>
        <v>12990</v>
      </c>
      <c r="I36" s="243">
        <f t="shared" si="14"/>
        <v>26403</v>
      </c>
      <c r="J36" s="243">
        <f t="shared" si="14"/>
        <v>0</v>
      </c>
      <c r="K36" s="243">
        <f t="shared" si="14"/>
        <v>229590.6129999999</v>
      </c>
      <c r="L36" s="244">
        <f t="shared" si="14"/>
        <v>248251</v>
      </c>
      <c r="M36" s="244">
        <f t="shared" si="14"/>
        <v>325857</v>
      </c>
      <c r="N36" s="243">
        <f t="shared" si="14"/>
        <v>0</v>
      </c>
      <c r="O36" s="243">
        <f t="shared" si="14"/>
        <v>0</v>
      </c>
      <c r="P36" s="244">
        <f t="shared" si="14"/>
        <v>153770</v>
      </c>
      <c r="Q36" s="244">
        <f t="shared" si="14"/>
        <v>699532</v>
      </c>
      <c r="R36" s="244">
        <f t="shared" si="14"/>
        <v>132544.4049999998</v>
      </c>
      <c r="S36" s="244">
        <f t="shared" si="14"/>
        <v>104400.85900000005</v>
      </c>
      <c r="T36" s="243">
        <f t="shared" si="14"/>
        <v>202484.20699999994</v>
      </c>
      <c r="U36" s="243">
        <f t="shared" si="14"/>
        <v>243774</v>
      </c>
      <c r="V36" s="244">
        <f t="shared" si="14"/>
        <v>0</v>
      </c>
      <c r="W36" s="244">
        <f t="shared" si="14"/>
        <v>0</v>
      </c>
      <c r="X36" s="243">
        <f t="shared" si="14"/>
        <v>145894</v>
      </c>
      <c r="Y36" s="243">
        <f t="shared" si="14"/>
        <v>270284</v>
      </c>
      <c r="Z36" s="243">
        <f t="shared" si="14"/>
        <v>0</v>
      </c>
      <c r="AA36" s="243">
        <f t="shared" si="14"/>
        <v>0</v>
      </c>
      <c r="AB36" s="244">
        <f t="shared" si="14"/>
        <v>0</v>
      </c>
      <c r="AC36" s="244">
        <f t="shared" si="14"/>
        <v>0</v>
      </c>
    </row>
    <row r="37" spans="1:29" s="206" customFormat="1" ht="13.5" thickBot="1">
      <c r="A37" s="233" t="s">
        <v>41</v>
      </c>
      <c r="B37" s="234">
        <f aca="true" t="shared" si="15" ref="B37:AC37">+B30-B35</f>
        <v>164590.31900000013</v>
      </c>
      <c r="C37" s="235">
        <f t="shared" si="15"/>
        <v>50350.71300000022</v>
      </c>
      <c r="D37" s="235">
        <f t="shared" si="15"/>
        <v>381078.5209999988</v>
      </c>
      <c r="E37" s="235">
        <f t="shared" si="15"/>
        <v>684539</v>
      </c>
      <c r="F37" s="235">
        <f t="shared" si="15"/>
        <v>118965.77899999998</v>
      </c>
      <c r="G37" s="235">
        <f t="shared" si="15"/>
        <v>26215</v>
      </c>
      <c r="H37" s="235">
        <f t="shared" si="15"/>
        <v>4480</v>
      </c>
      <c r="I37" s="235">
        <f t="shared" si="15"/>
        <v>16253</v>
      </c>
      <c r="J37" s="235">
        <f t="shared" si="15"/>
        <v>0</v>
      </c>
      <c r="K37" s="235">
        <f t="shared" si="15"/>
        <v>229590.6129999999</v>
      </c>
      <c r="L37" s="236">
        <f t="shared" si="15"/>
        <v>166328</v>
      </c>
      <c r="M37" s="236">
        <f t="shared" si="15"/>
        <v>218324</v>
      </c>
      <c r="N37" s="235">
        <f t="shared" si="15"/>
        <v>0</v>
      </c>
      <c r="O37" s="235">
        <f t="shared" si="15"/>
        <v>0</v>
      </c>
      <c r="P37" s="236">
        <f t="shared" si="15"/>
        <v>78044</v>
      </c>
      <c r="Q37" s="236">
        <f t="shared" si="15"/>
        <v>343854</v>
      </c>
      <c r="R37" s="236">
        <f t="shared" si="15"/>
        <v>45624.539999999804</v>
      </c>
      <c r="S37" s="236">
        <f t="shared" si="15"/>
        <v>24135.713000000105</v>
      </c>
      <c r="T37" s="235">
        <f t="shared" si="15"/>
        <v>95340.52100000018</v>
      </c>
      <c r="U37" s="235">
        <f t="shared" si="15"/>
        <v>91851</v>
      </c>
      <c r="V37" s="236">
        <f t="shared" si="15"/>
        <v>0</v>
      </c>
      <c r="W37" s="236">
        <f t="shared" si="15"/>
        <v>0</v>
      </c>
      <c r="X37" s="235">
        <f t="shared" si="15"/>
        <v>36886</v>
      </c>
      <c r="Y37" s="235">
        <f t="shared" si="15"/>
        <v>14257</v>
      </c>
      <c r="Z37" s="235">
        <f t="shared" si="15"/>
        <v>0</v>
      </c>
      <c r="AA37" s="235">
        <f t="shared" si="15"/>
        <v>0</v>
      </c>
      <c r="AB37" s="236">
        <f t="shared" si="15"/>
        <v>0</v>
      </c>
      <c r="AC37" s="236">
        <f t="shared" si="15"/>
        <v>0</v>
      </c>
    </row>
    <row r="38" ht="12.75">
      <c r="A38" s="49" t="s">
        <v>132</v>
      </c>
    </row>
    <row r="39" ht="12.75"/>
    <row r="40" ht="12.75"/>
  </sheetData>
  <sheetProtection/>
  <mergeCells count="7">
    <mergeCell ref="B6:E6"/>
    <mergeCell ref="Z6:AC6"/>
    <mergeCell ref="R6:U6"/>
    <mergeCell ref="F6:I6"/>
    <mergeCell ref="V6:Y6"/>
    <mergeCell ref="J6:M6"/>
    <mergeCell ref="N6:Q6"/>
  </mergeCells>
  <printOptions/>
  <pageMargins left="0.75" right="0.75" top="1" bottom="1" header="0" footer="0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O1">
      <selection activeCell="AD14" sqref="AD14"/>
    </sheetView>
  </sheetViews>
  <sheetFormatPr defaultColWidth="11.421875" defaultRowHeight="12.75"/>
  <cols>
    <col min="1" max="1" width="34.140625" style="1" customWidth="1"/>
    <col min="2" max="16384" width="11.421875" style="1" customWidth="1"/>
  </cols>
  <sheetData>
    <row r="1" spans="1:5" ht="12.75">
      <c r="A1" s="18" t="s">
        <v>80</v>
      </c>
      <c r="B1" s="19"/>
      <c r="C1" s="19"/>
      <c r="D1" s="19"/>
      <c r="E1" s="19"/>
    </row>
    <row r="2" spans="1:5" ht="12.75">
      <c r="A2" s="22" t="s">
        <v>138</v>
      </c>
      <c r="B2" s="19"/>
      <c r="C2" s="19"/>
      <c r="D2" s="19"/>
      <c r="E2" s="19"/>
    </row>
    <row r="3" spans="1:5" ht="12.75">
      <c r="A3" s="18" t="s">
        <v>64</v>
      </c>
      <c r="B3" s="19"/>
      <c r="C3" s="19"/>
      <c r="D3" s="19"/>
      <c r="E3" s="19"/>
    </row>
    <row r="4" spans="1:5" ht="12.75">
      <c r="A4" s="18" t="s">
        <v>131</v>
      </c>
      <c r="B4" s="19"/>
      <c r="C4" s="19"/>
      <c r="D4" s="19"/>
      <c r="E4" s="19"/>
    </row>
    <row r="5" spans="1:5" ht="13.5" thickBot="1">
      <c r="A5" s="18" t="s">
        <v>65</v>
      </c>
      <c r="B5" s="19"/>
      <c r="C5" s="19"/>
      <c r="D5" s="19"/>
      <c r="E5" s="19"/>
    </row>
    <row r="6" spans="1:29" ht="21" customHeight="1" thickBot="1">
      <c r="A6" s="290" t="s">
        <v>57</v>
      </c>
      <c r="B6" s="292" t="s">
        <v>9</v>
      </c>
      <c r="C6" s="293"/>
      <c r="D6" s="293"/>
      <c r="E6" s="294"/>
      <c r="F6" s="292" t="s">
        <v>74</v>
      </c>
      <c r="G6" s="293"/>
      <c r="H6" s="293"/>
      <c r="I6" s="294"/>
      <c r="J6" s="292" t="s">
        <v>90</v>
      </c>
      <c r="K6" s="293"/>
      <c r="L6" s="293"/>
      <c r="M6" s="294"/>
      <c r="N6" s="292" t="s">
        <v>134</v>
      </c>
      <c r="O6" s="293"/>
      <c r="P6" s="293"/>
      <c r="Q6" s="294"/>
      <c r="R6" s="292" t="s">
        <v>77</v>
      </c>
      <c r="S6" s="293"/>
      <c r="T6" s="293"/>
      <c r="U6" s="294"/>
      <c r="V6" s="292" t="s">
        <v>130</v>
      </c>
      <c r="W6" s="293"/>
      <c r="X6" s="293"/>
      <c r="Y6" s="294"/>
      <c r="Z6" s="273" t="s">
        <v>135</v>
      </c>
      <c r="AA6" s="274"/>
      <c r="AB6" s="274"/>
      <c r="AC6" s="275"/>
    </row>
    <row r="7" spans="1:29" ht="13.5" thickBot="1">
      <c r="A7" s="291"/>
      <c r="B7" s="245">
        <v>2008</v>
      </c>
      <c r="C7" s="245">
        <v>2009</v>
      </c>
      <c r="D7" s="245">
        <v>2010</v>
      </c>
      <c r="E7" s="245">
        <v>2011</v>
      </c>
      <c r="F7" s="246">
        <v>2008</v>
      </c>
      <c r="G7" s="246">
        <v>2009</v>
      </c>
      <c r="H7" s="246">
        <v>2010</v>
      </c>
      <c r="I7" s="246">
        <v>2011</v>
      </c>
      <c r="J7" s="245">
        <v>2008</v>
      </c>
      <c r="K7" s="245">
        <v>2009</v>
      </c>
      <c r="L7" s="245">
        <v>2010</v>
      </c>
      <c r="M7" s="245">
        <v>2011</v>
      </c>
      <c r="N7" s="245">
        <v>2008</v>
      </c>
      <c r="O7" s="245">
        <v>2009</v>
      </c>
      <c r="P7" s="245">
        <v>2010</v>
      </c>
      <c r="Q7" s="245">
        <v>2011</v>
      </c>
      <c r="R7" s="246">
        <v>2008</v>
      </c>
      <c r="S7" s="246">
        <v>2009</v>
      </c>
      <c r="T7" s="246">
        <v>2010</v>
      </c>
      <c r="U7" s="246">
        <v>2011</v>
      </c>
      <c r="V7" s="246">
        <v>2008</v>
      </c>
      <c r="W7" s="246">
        <v>2009</v>
      </c>
      <c r="X7" s="246">
        <v>2010</v>
      </c>
      <c r="Y7" s="246">
        <v>2011</v>
      </c>
      <c r="Z7" s="245">
        <v>2008</v>
      </c>
      <c r="AA7" s="245">
        <v>2009</v>
      </c>
      <c r="AB7" s="245">
        <v>2010</v>
      </c>
      <c r="AC7" s="245">
        <v>2011</v>
      </c>
    </row>
    <row r="8" spans="1:25" ht="12.75">
      <c r="A8" s="45" t="s">
        <v>42</v>
      </c>
      <c r="B8" s="46"/>
      <c r="C8" s="46"/>
      <c r="D8" s="46"/>
      <c r="E8" s="46"/>
      <c r="F8" s="47"/>
      <c r="G8" s="58"/>
      <c r="H8" s="58"/>
      <c r="I8" s="58"/>
      <c r="R8" s="35"/>
      <c r="S8" s="35"/>
      <c r="T8" s="2"/>
      <c r="U8" s="2"/>
      <c r="V8" s="35"/>
      <c r="W8" s="35"/>
      <c r="X8" s="2"/>
      <c r="Y8" s="2"/>
    </row>
    <row r="9" spans="1:29" ht="12.75">
      <c r="A9" s="40" t="s">
        <v>61</v>
      </c>
      <c r="B9" s="92">
        <f>'C4 TRABA AER ESPEC'!B10/'C4 TRABA AER ESPEC'!B15</f>
        <v>3.430832117901051</v>
      </c>
      <c r="C9" s="92">
        <f>'C4 TRABA AER ESPEC'!C10/'C4 TRABA AER ESPEC'!C15</f>
        <v>3.533282670012767</v>
      </c>
      <c r="D9" s="136">
        <f>'C4 TRABA AER ESPEC'!D10/'C4 TRABA AER ESPEC'!D15</f>
        <v>1.762097603248395</v>
      </c>
      <c r="E9" s="136">
        <f>'C4 TRABA AER ESPEC'!E10/'C4 TRABA AER ESPEC'!E15</f>
        <v>1.0294716028572266</v>
      </c>
      <c r="F9" s="92">
        <f>'C4 TRABA AER ESPEC'!F10/'C4 TRABA AER ESPEC'!F15</f>
        <v>2.0643931508527342</v>
      </c>
      <c r="G9" s="92">
        <f>'C4 TRABA AER ESPEC'!G10/'C4 TRABA AER ESPEC'!G15</f>
        <v>3.3391493790687</v>
      </c>
      <c r="H9" s="136">
        <f>'C4 TRABA AER ESPEC'!H10/'C4 TRABA AER ESPEC'!H15</f>
        <v>21.43147972558425</v>
      </c>
      <c r="I9" s="136">
        <f>'C4 TRABA AER ESPEC'!I10/'C4 TRABA AER ESPEC'!I15</f>
        <v>1.9174316811049674</v>
      </c>
      <c r="J9" s="92" t="e">
        <f>'C4 TRABA AER ESPEC'!J10/'C4 TRABA AER ESPEC'!J15</f>
        <v>#DIV/0!</v>
      </c>
      <c r="K9" s="92">
        <f>'C4 TRABA AER ESPEC'!K10/'C4 TRABA AER ESPEC'!K15</f>
        <v>6.729615850904509</v>
      </c>
      <c r="L9" s="136">
        <f>'C4 TRABA AER ESPEC'!L10/'C4 TRABA AER ESPEC'!L15</f>
        <v>8.842790870654557</v>
      </c>
      <c r="M9" s="136">
        <f>'C4 TRABA AER ESPEC'!M10/'C4 TRABA AER ESPEC'!M15</f>
        <v>11.79442645236096</v>
      </c>
      <c r="N9" s="92" t="e">
        <f>'C4 TRABA AER ESPEC'!N10/'C4 TRABA AER ESPEC'!N15</f>
        <v>#DIV/0!</v>
      </c>
      <c r="O9" s="92" t="e">
        <f>'C4 TRABA AER ESPEC'!O10/'C4 TRABA AER ESPEC'!O15</f>
        <v>#DIV/0!</v>
      </c>
      <c r="P9" s="136">
        <f>'C4 TRABA AER ESPEC'!P10/'C4 TRABA AER ESPEC'!P15</f>
        <v>0.7735603169223827</v>
      </c>
      <c r="Q9" s="136">
        <f>'C4 TRABA AER ESPEC'!Q10/'C4 TRABA AER ESPEC'!Q15</f>
        <v>0.5970771491420279</v>
      </c>
      <c r="R9" s="92">
        <f>'C4 TRABA AER ESPEC'!R10/'C4 TRABA AER ESPEC'!R15</f>
        <v>3.9914328509753814</v>
      </c>
      <c r="S9" s="92">
        <f>'C4 TRABA AER ESPEC'!S10/'C4 TRABA AER ESPEC'!S15</f>
        <v>3.5680025319341455</v>
      </c>
      <c r="T9" s="136">
        <f>'C4 TRABA AER ESPEC'!T10/'C4 TRABA AER ESPEC'!T15</f>
        <v>2.900442164897172</v>
      </c>
      <c r="U9" s="136">
        <f>'C4 TRABA AER ESPEC'!U10/'C4 TRABA AER ESPEC'!U15</f>
        <v>2.272780124175456</v>
      </c>
      <c r="V9" s="92" t="e">
        <f>'C4 TRABA AER ESPEC'!V10/'C4 TRABA AER ESPEC'!V15</f>
        <v>#DIV/0!</v>
      </c>
      <c r="W9" s="92" t="e">
        <f>'C4 TRABA AER ESPEC'!W10/'C4 TRABA AER ESPEC'!W15</f>
        <v>#DIV/0!</v>
      </c>
      <c r="X9" s="136">
        <f>'C4 TRABA AER ESPEC'!X10/'C4 TRABA AER ESPEC'!X15</f>
        <v>1.3178069453618253</v>
      </c>
      <c r="Y9" s="136">
        <f>'C4 TRABA AER ESPEC'!Y10/'C4 TRABA AER ESPEC'!Y15</f>
        <v>0.5862764115991252</v>
      </c>
      <c r="Z9" s="92" t="e">
        <f>'C4 TRABA AER ESPEC'!Z10/'C4 TRABA AER ESPEC'!Z15</f>
        <v>#DIV/0!</v>
      </c>
      <c r="AA9" s="92" t="e">
        <f>'C4 TRABA AER ESPEC'!AA10/'C4 TRABA AER ESPEC'!AA15</f>
        <v>#DIV/0!</v>
      </c>
      <c r="AB9" s="136" t="e">
        <f>'C4 TRABA AER ESPEC'!AB10/'C4 TRABA AER ESPEC'!AB15</f>
        <v>#DIV/0!</v>
      </c>
      <c r="AC9" s="136" t="e">
        <f>'C4 TRABA AER ESPEC'!AC10/'C4 TRABA AER ESPEC'!AC15</f>
        <v>#DIV/0!</v>
      </c>
    </row>
    <row r="10" spans="1:29" ht="12.75">
      <c r="A10" s="39" t="s">
        <v>43</v>
      </c>
      <c r="B10" s="93"/>
      <c r="C10" s="93"/>
      <c r="D10" s="137"/>
      <c r="E10" s="137"/>
      <c r="F10" s="93"/>
      <c r="G10" s="93"/>
      <c r="H10" s="137"/>
      <c r="I10" s="137"/>
      <c r="J10" s="93"/>
      <c r="K10" s="93"/>
      <c r="L10" s="137"/>
      <c r="M10" s="137"/>
      <c r="N10" s="93"/>
      <c r="O10" s="93"/>
      <c r="P10" s="137"/>
      <c r="Q10" s="137"/>
      <c r="R10" s="93"/>
      <c r="S10" s="93"/>
      <c r="T10" s="137"/>
      <c r="U10" s="137"/>
      <c r="V10" s="93"/>
      <c r="W10" s="93"/>
      <c r="X10" s="137"/>
      <c r="Y10" s="137"/>
      <c r="Z10" s="93"/>
      <c r="AA10" s="93"/>
      <c r="AB10" s="137"/>
      <c r="AC10" s="137"/>
    </row>
    <row r="11" spans="1:29" ht="12.75">
      <c r="A11" s="41" t="s">
        <v>10</v>
      </c>
      <c r="B11" s="93">
        <f>+'C4 TRABA AER ESPEC'!B15/'C4 TRABA AER ESPEC'!B18</f>
        <v>1</v>
      </c>
      <c r="C11" s="93">
        <f>+'C4 TRABA AER ESPEC'!C15/'C4 TRABA AER ESPEC'!C18</f>
        <v>1</v>
      </c>
      <c r="D11" s="137">
        <f>+'C4 TRABA AER ESPEC'!D15/'C4 TRABA AER ESPEC'!D18</f>
        <v>0.9282795854551418</v>
      </c>
      <c r="E11" s="137">
        <f>+'C4 TRABA AER ESPEC'!E15/'C4 TRABA AER ESPEC'!E18</f>
        <v>0.9626855396139123</v>
      </c>
      <c r="F11" s="93">
        <f>+'C4 TRABA AER ESPEC'!F15/'C4 TRABA AER ESPEC'!F18</f>
        <v>1</v>
      </c>
      <c r="G11" s="93">
        <f>+'C4 TRABA AER ESPEC'!G15/'C4 TRABA AER ESPEC'!G18</f>
        <v>1</v>
      </c>
      <c r="H11" s="137">
        <f>+'C4 TRABA AER ESPEC'!H15/'C4 TRABA AER ESPEC'!H18</f>
        <v>1</v>
      </c>
      <c r="I11" s="137">
        <f>+'C4 TRABA AER ESPEC'!I15/'C4 TRABA AER ESPEC'!I18</f>
        <v>1</v>
      </c>
      <c r="J11" s="93" t="e">
        <f>+'C4 TRABA AER ESPEC'!J15/'C4 TRABA AER ESPEC'!J18</f>
        <v>#DIV/0!</v>
      </c>
      <c r="K11" s="93">
        <f>+'C4 TRABA AER ESPEC'!K15/'C4 TRABA AER ESPEC'!K18</f>
        <v>0.2751545279131373</v>
      </c>
      <c r="L11" s="137">
        <f>+'C4 TRABA AER ESPEC'!L15/'C4 TRABA AER ESPEC'!L18</f>
        <v>0.23674759373653212</v>
      </c>
      <c r="M11" s="137">
        <f>+'C4 TRABA AER ESPEC'!M15/'C4 TRABA AER ESPEC'!M18</f>
        <v>0.3104411290122384</v>
      </c>
      <c r="N11" s="93" t="e">
        <f>+'C4 TRABA AER ESPEC'!N15/'C4 TRABA AER ESPEC'!N18</f>
        <v>#DIV/0!</v>
      </c>
      <c r="O11" s="93" t="e">
        <f>+'C4 TRABA AER ESPEC'!O15/'C4 TRABA AER ESPEC'!O18</f>
        <v>#DIV/0!</v>
      </c>
      <c r="P11" s="137">
        <f>+'C4 TRABA AER ESPEC'!P15/'C4 TRABA AER ESPEC'!P18</f>
        <v>1</v>
      </c>
      <c r="Q11" s="137">
        <f>+'C4 TRABA AER ESPEC'!Q15/'C4 TRABA AER ESPEC'!Q18</f>
        <v>1</v>
      </c>
      <c r="R11" s="93">
        <f>+'C4 TRABA AER ESPEC'!R15/'C4 TRABA AER ESPEC'!R18</f>
        <v>1</v>
      </c>
      <c r="S11" s="93">
        <f>+'C4 TRABA AER ESPEC'!S15/'C4 TRABA AER ESPEC'!S18</f>
        <v>1</v>
      </c>
      <c r="T11" s="137">
        <f>+'C4 TRABA AER ESPEC'!T15/'C4 TRABA AER ESPEC'!T18</f>
        <v>1</v>
      </c>
      <c r="U11" s="137">
        <f>+'C4 TRABA AER ESPEC'!U15/'C4 TRABA AER ESPEC'!U18</f>
        <v>1</v>
      </c>
      <c r="V11" s="93" t="e">
        <f>+'C4 TRABA AER ESPEC'!V15/'C4 TRABA AER ESPEC'!V18</f>
        <v>#DIV/0!</v>
      </c>
      <c r="W11" s="93" t="e">
        <f>+'C4 TRABA AER ESPEC'!W15/'C4 TRABA AER ESPEC'!W18</f>
        <v>#DIV/0!</v>
      </c>
      <c r="X11" s="137">
        <f>+'C4 TRABA AER ESPEC'!X15/'C4 TRABA AER ESPEC'!X18</f>
        <v>1</v>
      </c>
      <c r="Y11" s="137">
        <f>+'C4 TRABA AER ESPEC'!Y15/'C4 TRABA AER ESPEC'!Y18</f>
        <v>1</v>
      </c>
      <c r="Z11" s="93" t="e">
        <f>+'C4 TRABA AER ESPEC'!Z15/'C4 TRABA AER ESPEC'!Z18</f>
        <v>#DIV/0!</v>
      </c>
      <c r="AA11" s="93" t="e">
        <f>+'C4 TRABA AER ESPEC'!AA15/'C4 TRABA AER ESPEC'!AA18</f>
        <v>#DIV/0!</v>
      </c>
      <c r="AB11" s="137" t="e">
        <f>+'C4 TRABA AER ESPEC'!AB15/'C4 TRABA AER ESPEC'!AB18</f>
        <v>#DIV/0!</v>
      </c>
      <c r="AC11" s="137" t="e">
        <f>+'C4 TRABA AER ESPEC'!AC15/'C4 TRABA AER ESPEC'!AC18</f>
        <v>#DIV/0!</v>
      </c>
    </row>
    <row r="12" spans="1:29" ht="12.75">
      <c r="A12" s="41" t="s">
        <v>44</v>
      </c>
      <c r="B12" s="92">
        <f>'C4 TRABA AER ESPEC'!B18/'C4 TRABA AER ESPEC'!B24</f>
        <v>0.41138176208707883</v>
      </c>
      <c r="C12" s="92">
        <f>'C4 TRABA AER ESPEC'!C18/'C4 TRABA AER ESPEC'!C24</f>
        <v>0.3947447366314294</v>
      </c>
      <c r="D12" s="136">
        <f>'C4 TRABA AER ESPEC'!D18/'C4 TRABA AER ESPEC'!D24</f>
        <v>1.0147410228164198</v>
      </c>
      <c r="E12" s="136">
        <f>'C4 TRABA AER ESPEC'!E18/'C4 TRABA AER ESPEC'!E24</f>
        <v>1.1596858573493385</v>
      </c>
      <c r="F12" s="92">
        <f>'C4 TRABA AER ESPEC'!F18/'C4 TRABA AER ESPEC'!F24</f>
        <v>0.9395024753765601</v>
      </c>
      <c r="G12" s="92">
        <f>'C4 TRABA AER ESPEC'!G18/'C4 TRABA AER ESPEC'!G24</f>
        <v>0.4275058313711184</v>
      </c>
      <c r="H12" s="136">
        <f>'C4 TRABA AER ESPEC'!H18/'C4 TRABA AER ESPEC'!H24</f>
        <v>0.04894408106662008</v>
      </c>
      <c r="I12" s="136">
        <f>'C4 TRABA AER ESPEC'!I18/'C4 TRABA AER ESPEC'!I24</f>
        <v>0.34367574830029773</v>
      </c>
      <c r="J12" s="92" t="e">
        <f>'C4 TRABA AER ESPEC'!J18/'C4 TRABA AER ESPEC'!J24</f>
        <v>#DIV/0!</v>
      </c>
      <c r="K12" s="92">
        <f>'C4 TRABA AER ESPEC'!K18/'C4 TRABA AER ESPEC'!K24</f>
        <v>0.5662040423305896</v>
      </c>
      <c r="L12" s="136">
        <f>'C4 TRABA AER ESPEC'!L18/'C4 TRABA AER ESPEC'!L24</f>
        <v>0.4514016941866534</v>
      </c>
      <c r="M12" s="136">
        <f>'C4 TRABA AER ESPEC'!M18/'C4 TRABA AER ESPEC'!M24</f>
        <v>0.27046280070631995</v>
      </c>
      <c r="N12" s="92" t="e">
        <f>'C4 TRABA AER ESPEC'!N18/'C4 TRABA AER ESPEC'!N24</f>
        <v>#DIV/0!</v>
      </c>
      <c r="O12" s="92" t="e">
        <f>'C4 TRABA AER ESPEC'!O18/'C4 TRABA AER ESPEC'!O24</f>
        <v>#DIV/0!</v>
      </c>
      <c r="P12" s="136">
        <f>'C4 TRABA AER ESPEC'!P18/'C4 TRABA AER ESPEC'!P24</f>
        <v>6.427187646942831</v>
      </c>
      <c r="Q12" s="136">
        <f>'C4 TRABA AER ESPEC'!Q18/'C4 TRABA AER ESPEC'!Q24</f>
        <v>3.4927251516618982</v>
      </c>
      <c r="R12" s="92">
        <f>'C4 TRABA AER ESPEC'!R18/'C4 TRABA AER ESPEC'!R24</f>
        <v>0.3342879649375856</v>
      </c>
      <c r="S12" s="92">
        <f>'C4 TRABA AER ESPEC'!S18/'C4 TRABA AER ESPEC'!S24</f>
        <v>0.3894077159250513</v>
      </c>
      <c r="T12" s="136">
        <f>'C4 TRABA AER ESPEC'!T18/'C4 TRABA AER ESPEC'!T24</f>
        <v>0.5261933346201606</v>
      </c>
      <c r="U12" s="136">
        <f>'C4 TRABA AER ESPEC'!U18/'C4 TRABA AER ESPEC'!U24</f>
        <v>0.3007676829690822</v>
      </c>
      <c r="V12" s="92" t="e">
        <f>'C4 TRABA AER ESPEC'!V18/'C4 TRABA AER ESPEC'!V24</f>
        <v>#DIV/0!</v>
      </c>
      <c r="W12" s="92" t="e">
        <f>'C4 TRABA AER ESPEC'!W18/'C4 TRABA AER ESPEC'!W24</f>
        <v>#DIV/0!</v>
      </c>
      <c r="X12" s="136">
        <f>'C4 TRABA AER ESPEC'!X18/'C4 TRABA AER ESPEC'!X24</f>
        <v>1.4232274056918384</v>
      </c>
      <c r="Y12" s="136">
        <f>'C4 TRABA AER ESPEC'!Y18/'C4 TRABA AER ESPEC'!Y24</f>
        <v>5.005367251905528</v>
      </c>
      <c r="Z12" s="92" t="e">
        <f>'C4 TRABA AER ESPEC'!Z18/'C4 TRABA AER ESPEC'!Z24</f>
        <v>#DIV/0!</v>
      </c>
      <c r="AA12" s="92" t="e">
        <f>'C4 TRABA AER ESPEC'!AA18/'C4 TRABA AER ESPEC'!AA24</f>
        <v>#DIV/0!</v>
      </c>
      <c r="AB12" s="136" t="e">
        <f>'C4 TRABA AER ESPEC'!AB18/'C4 TRABA AER ESPEC'!AB24</f>
        <v>#DIV/0!</v>
      </c>
      <c r="AC12" s="136" t="e">
        <f>'C4 TRABA AER ESPEC'!AC18/'C4 TRABA AER ESPEC'!AC24</f>
        <v>#DIV/0!</v>
      </c>
    </row>
    <row r="13" spans="1:29" ht="12.75">
      <c r="A13" s="42" t="s">
        <v>45</v>
      </c>
      <c r="B13" s="92">
        <f>'C4 TRABA AER ESPEC'!B16/'C4 TRABA AER ESPEC'!B24</f>
        <v>0</v>
      </c>
      <c r="C13" s="92">
        <f>'C4 TRABA AER ESPEC'!C16/'C4 TRABA AER ESPEC'!C24</f>
        <v>0</v>
      </c>
      <c r="D13" s="136">
        <f>'C4 TRABA AER ESPEC'!D16/'C4 TRABA AER ESPEC'!D24</f>
        <v>0.07277764681206711</v>
      </c>
      <c r="E13" s="136">
        <f>'C4 TRABA AER ESPEC'!E16/'C4 TRABA AER ESPEC'!E24</f>
        <v>0.043273051984367955</v>
      </c>
      <c r="F13" s="92">
        <f>'C4 TRABA AER ESPEC'!F16/'C4 TRABA AER ESPEC'!F24</f>
        <v>0</v>
      </c>
      <c r="G13" s="92">
        <f>'C4 TRABA AER ESPEC'!G16/'C4 TRABA AER ESPEC'!G24</f>
        <v>0</v>
      </c>
      <c r="H13" s="136">
        <f>'C4 TRABA AER ESPEC'!H16/'C4 TRABA AER ESPEC'!H24</f>
        <v>0</v>
      </c>
      <c r="I13" s="136">
        <f>'C4 TRABA AER ESPEC'!I16/'C4 TRABA AER ESPEC'!I24</f>
        <v>0</v>
      </c>
      <c r="J13" s="92" t="e">
        <f>'C4 TRABA AER ESPEC'!J16/'C4 TRABA AER ESPEC'!J24</f>
        <v>#DIV/0!</v>
      </c>
      <c r="K13" s="92">
        <f>'C4 TRABA AER ESPEC'!K16/'C4 TRABA AER ESPEC'!K24</f>
        <v>0.41041043636060626</v>
      </c>
      <c r="L13" s="136">
        <f>'C4 TRABA AER ESPEC'!L16/'C4 TRABA AER ESPEC'!L24</f>
        <v>0.34453342927936925</v>
      </c>
      <c r="M13" s="136">
        <f>'C4 TRABA AER ESPEC'!M16/'C4 TRABA AER ESPEC'!M24</f>
        <v>0.18650002349923794</v>
      </c>
      <c r="N13" s="92" t="e">
        <f>'C4 TRABA AER ESPEC'!N16/'C4 TRABA AER ESPEC'!N24</f>
        <v>#DIV/0!</v>
      </c>
      <c r="O13" s="92" t="e">
        <f>'C4 TRABA AER ESPEC'!O16/'C4 TRABA AER ESPEC'!O24</f>
        <v>#DIV/0!</v>
      </c>
      <c r="P13" s="136">
        <f>'C4 TRABA AER ESPEC'!P16/'C4 TRABA AER ESPEC'!P24</f>
        <v>0</v>
      </c>
      <c r="Q13" s="136">
        <f>'C4 TRABA AER ESPEC'!Q16/'C4 TRABA AER ESPEC'!Q24</f>
        <v>0</v>
      </c>
      <c r="R13" s="92">
        <f>'C4 TRABA AER ESPEC'!R16/'C4 TRABA AER ESPEC'!R24</f>
        <v>0</v>
      </c>
      <c r="S13" s="92">
        <f>'C4 TRABA AER ESPEC'!S16/'C4 TRABA AER ESPEC'!S24</f>
        <v>0</v>
      </c>
      <c r="T13" s="136">
        <f>'C4 TRABA AER ESPEC'!T16/'C4 TRABA AER ESPEC'!T24</f>
        <v>0</v>
      </c>
      <c r="U13" s="136">
        <f>'C4 TRABA AER ESPEC'!U16/'C4 TRABA AER ESPEC'!U24</f>
        <v>0</v>
      </c>
      <c r="V13" s="92" t="e">
        <f>'C4 TRABA AER ESPEC'!V16/'C4 TRABA AER ESPEC'!V24</f>
        <v>#DIV/0!</v>
      </c>
      <c r="W13" s="92" t="e">
        <f>'C4 TRABA AER ESPEC'!W16/'C4 TRABA AER ESPEC'!W24</f>
        <v>#DIV/0!</v>
      </c>
      <c r="X13" s="136">
        <f>'C4 TRABA AER ESPEC'!X16/'C4 TRABA AER ESPEC'!X24</f>
        <v>0</v>
      </c>
      <c r="Y13" s="136">
        <f>'C4 TRABA AER ESPEC'!Y16/'C4 TRABA AER ESPEC'!Y24</f>
        <v>0</v>
      </c>
      <c r="Z13" s="92" t="e">
        <f>'C4 TRABA AER ESPEC'!Z16/'C4 TRABA AER ESPEC'!Z24</f>
        <v>#DIV/0!</v>
      </c>
      <c r="AA13" s="92" t="e">
        <f>'C4 TRABA AER ESPEC'!AA16/'C4 TRABA AER ESPEC'!AA24</f>
        <v>#DIV/0!</v>
      </c>
      <c r="AB13" s="136" t="e">
        <f>'C4 TRABA AER ESPEC'!AB16/'C4 TRABA AER ESPEC'!AB24</f>
        <v>#DIV/0!</v>
      </c>
      <c r="AC13" s="136" t="e">
        <f>'C4 TRABA AER ESPEC'!AC16/'C4 TRABA AER ESPEC'!AC24</f>
        <v>#DIV/0!</v>
      </c>
    </row>
    <row r="14" spans="1:29" ht="12.75">
      <c r="A14" s="41" t="s">
        <v>46</v>
      </c>
      <c r="B14" s="92">
        <f>'C4 TRABA AER ESPEC'!B18/'C4 TRABA AER ESPEC'!B13</f>
        <v>0.29147447780446634</v>
      </c>
      <c r="C14" s="92">
        <f>'C4 TRABA AER ESPEC'!C18/'C4 TRABA AER ESPEC'!C13</f>
        <v>0.283022926098462</v>
      </c>
      <c r="D14" s="136">
        <f>'C4 TRABA AER ESPEC'!D18/'C4 TRABA AER ESPEC'!D13</f>
        <v>0.503658292219566</v>
      </c>
      <c r="E14" s="136">
        <f>'C4 TRABA AER ESPEC'!E18/'C4 TRABA AER ESPEC'!E13</f>
        <v>0.536969618104333</v>
      </c>
      <c r="F14" s="92">
        <f>'C4 TRABA AER ESPEC'!F18/'C4 TRABA AER ESPEC'!F13</f>
        <v>0.48440385475360265</v>
      </c>
      <c r="G14" s="92">
        <f>'C4 TRABA AER ESPEC'!G18/'C4 TRABA AER ESPEC'!G13</f>
        <v>0.29947746760550836</v>
      </c>
      <c r="H14" s="136">
        <f>'C4 TRABA AER ESPEC'!H18/'C4 TRABA AER ESPEC'!H13</f>
        <v>0.04666033390154719</v>
      </c>
      <c r="I14" s="136">
        <f>'C4 TRABA AER ESPEC'!I18/'C4 TRABA AER ESPEC'!I13</f>
        <v>0.2557718345368526</v>
      </c>
      <c r="J14" s="92" t="e">
        <f>'C4 TRABA AER ESPEC'!J18/'C4 TRABA AER ESPEC'!J13</f>
        <v>#DIV/0!</v>
      </c>
      <c r="K14" s="92">
        <f>'C4 TRABA AER ESPEC'!K18/'C4 TRABA AER ESPEC'!K13</f>
        <v>0.36151358764727093</v>
      </c>
      <c r="L14" s="136">
        <f>'C4 TRABA AER ESPEC'!L18/'C4 TRABA AER ESPEC'!L13</f>
        <v>0.31101086349469437</v>
      </c>
      <c r="M14" s="136">
        <f>'C4 TRABA AER ESPEC'!M18/'C4 TRABA AER ESPEC'!M13</f>
        <v>0.2128852576840147</v>
      </c>
      <c r="N14" s="92" t="e">
        <f>'C4 TRABA AER ESPEC'!N18/'C4 TRABA AER ESPEC'!N13</f>
        <v>#DIV/0!</v>
      </c>
      <c r="O14" s="92" t="e">
        <f>'C4 TRABA AER ESPEC'!O18/'C4 TRABA AER ESPEC'!O13</f>
        <v>#DIV/0!</v>
      </c>
      <c r="P14" s="136">
        <f>'C4 TRABA AER ESPEC'!P18/'C4 TRABA AER ESPEC'!P13</f>
        <v>0.8653595347881619</v>
      </c>
      <c r="Q14" s="136">
        <f>'C4 TRABA AER ESPEC'!Q18/'C4 TRABA AER ESPEC'!Q13</f>
        <v>0.777417944289316</v>
      </c>
      <c r="R14" s="92">
        <f>'C4 TRABA AER ESPEC'!R18/'C4 TRABA AER ESPEC'!R13</f>
        <v>0.25053659608870316</v>
      </c>
      <c r="S14" s="92">
        <f>'C4 TRABA AER ESPEC'!S18/'C4 TRABA AER ESPEC'!S13</f>
        <v>0.28026885941079177</v>
      </c>
      <c r="T14" s="136">
        <f>'C4 TRABA AER ESPEC'!T18/'C4 TRABA AER ESPEC'!T13</f>
        <v>0.34477501813433076</v>
      </c>
      <c r="U14" s="136">
        <f>'C4 TRABA AER ESPEC'!U18/'C4 TRABA AER ESPEC'!U13</f>
        <v>0.23122321295879789</v>
      </c>
      <c r="V14" s="92" t="e">
        <f>'C4 TRABA AER ESPEC'!V18/'C4 TRABA AER ESPEC'!V13</f>
        <v>#DIV/0!</v>
      </c>
      <c r="W14" s="92" t="e">
        <f>'C4 TRABA AER ESPEC'!W18/'C4 TRABA AER ESPEC'!W13</f>
        <v>#DIV/0!</v>
      </c>
      <c r="X14" s="136">
        <f>'C4 TRABA AER ESPEC'!X18/'C4 TRABA AER ESPEC'!X13</f>
        <v>0.5873272159058893</v>
      </c>
      <c r="Y14" s="136">
        <f>'C4 TRABA AER ESPEC'!Y18/'C4 TRABA AER ESPEC'!Y13</f>
        <v>0.8334822904156785</v>
      </c>
      <c r="Z14" s="92" t="e">
        <f>'C4 TRABA AER ESPEC'!Z18/'C4 TRABA AER ESPEC'!Z13</f>
        <v>#DIV/0!</v>
      </c>
      <c r="AA14" s="92" t="e">
        <f>'C4 TRABA AER ESPEC'!AA18/'C4 TRABA AER ESPEC'!AA13</f>
        <v>#DIV/0!</v>
      </c>
      <c r="AB14" s="136" t="e">
        <f>'C4 TRABA AER ESPEC'!AB18/'C4 TRABA AER ESPEC'!AB13</f>
        <v>#DIV/0!</v>
      </c>
      <c r="AC14" s="136" t="e">
        <f>'C4 TRABA AER ESPEC'!AC18/'C4 TRABA AER ESPEC'!AC13</f>
        <v>#DIV/0!</v>
      </c>
    </row>
    <row r="15" spans="1:29" ht="12.75">
      <c r="A15" s="39" t="s">
        <v>47</v>
      </c>
      <c r="B15" s="93"/>
      <c r="C15" s="93"/>
      <c r="D15" s="137"/>
      <c r="E15" s="137"/>
      <c r="F15" s="93"/>
      <c r="G15" s="93"/>
      <c r="H15" s="137"/>
      <c r="I15" s="137"/>
      <c r="J15" s="93"/>
      <c r="K15" s="93"/>
      <c r="L15" s="137"/>
      <c r="M15" s="137"/>
      <c r="N15" s="93"/>
      <c r="O15" s="93"/>
      <c r="P15" s="137"/>
      <c r="Q15" s="137"/>
      <c r="R15" s="93"/>
      <c r="S15" s="93"/>
      <c r="T15" s="137"/>
      <c r="U15" s="137"/>
      <c r="V15" s="93"/>
      <c r="W15" s="93"/>
      <c r="X15" s="137"/>
      <c r="Y15" s="137"/>
      <c r="Z15" s="93"/>
      <c r="AA15" s="93"/>
      <c r="AB15" s="137"/>
      <c r="AC15" s="137"/>
    </row>
    <row r="16" spans="1:29" ht="12.75">
      <c r="A16" s="41" t="s">
        <v>59</v>
      </c>
      <c r="B16" s="92">
        <f>'C4 TRABA AER ESPEC'!B13/'C4 TRABA AER ESPEC'!B18</f>
        <v>3.430832117901051</v>
      </c>
      <c r="C16" s="92">
        <f>'C4 TRABA AER ESPEC'!C13/'C4 TRABA AER ESPEC'!C18</f>
        <v>3.533282670012767</v>
      </c>
      <c r="D16" s="136">
        <f>'C4 TRABA AER ESPEC'!D13/'C4 TRABA AER ESPEC'!D18</f>
        <v>1.9854731182784884</v>
      </c>
      <c r="E16" s="136">
        <f>'C4 TRABA AER ESPEC'!E13/'C4 TRABA AER ESPEC'!E18</f>
        <v>1.8623027565885495</v>
      </c>
      <c r="F16" s="92">
        <f>'C4 TRABA AER ESPEC'!F13/'C4 TRABA AER ESPEC'!F18</f>
        <v>2.0643931508527342</v>
      </c>
      <c r="G16" s="92">
        <f>'C4 TRABA AER ESPEC'!G13/'C4 TRABA AER ESPEC'!G18</f>
        <v>3.3391493790687</v>
      </c>
      <c r="H16" s="136">
        <f>'C4 TRABA AER ESPEC'!H13/'C4 TRABA AER ESPEC'!H18</f>
        <v>21.43147972558425</v>
      </c>
      <c r="I16" s="136">
        <f>'C4 TRABA AER ESPEC'!I13/'C4 TRABA AER ESPEC'!I18</f>
        <v>3.909734634428312</v>
      </c>
      <c r="J16" s="92" t="e">
        <f>'C4 TRABA AER ESPEC'!J13/'C4 TRABA AER ESPEC'!J18</f>
        <v>#DIV/0!</v>
      </c>
      <c r="K16" s="92">
        <f>'C4 TRABA AER ESPEC'!K13/'C4 TRABA AER ESPEC'!K18</f>
        <v>2.7661477581188474</v>
      </c>
      <c r="L16" s="136">
        <f>'C4 TRABA AER ESPEC'!L13/'C4 TRABA AER ESPEC'!L18</f>
        <v>3.215321769675288</v>
      </c>
      <c r="M16" s="136">
        <f>'C4 TRABA AER ESPEC'!M13/'C4 TRABA AER ESPEC'!M18</f>
        <v>4.697366134597721</v>
      </c>
      <c r="N16" s="92" t="e">
        <f>'C4 TRABA AER ESPEC'!N13/'C4 TRABA AER ESPEC'!N18</f>
        <v>#DIV/0!</v>
      </c>
      <c r="O16" s="92" t="e">
        <f>'C4 TRABA AER ESPEC'!O13/'C4 TRABA AER ESPEC'!O18</f>
        <v>#DIV/0!</v>
      </c>
      <c r="P16" s="136">
        <f>'C4 TRABA AER ESPEC'!P13/'C4 TRABA AER ESPEC'!P18</f>
        <v>1.1555890468633916</v>
      </c>
      <c r="Q16" s="136">
        <f>'C4 TRABA AER ESPEC'!Q13/'C4 TRABA AER ESPEC'!Q18</f>
        <v>1.2863093878211926</v>
      </c>
      <c r="R16" s="92">
        <f>'C4 TRABA AER ESPEC'!R13/'C4 TRABA AER ESPEC'!R18</f>
        <v>3.9914328509753814</v>
      </c>
      <c r="S16" s="92">
        <f>'C4 TRABA AER ESPEC'!S13/'C4 TRABA AER ESPEC'!S18</f>
        <v>3.5680025319341455</v>
      </c>
      <c r="T16" s="136">
        <f>'C4 TRABA AER ESPEC'!T13/'C4 TRABA AER ESPEC'!T18</f>
        <v>2.900442164897172</v>
      </c>
      <c r="U16" s="136">
        <f>'C4 TRABA AER ESPEC'!U13/'C4 TRABA AER ESPEC'!U18</f>
        <v>4.324825294155011</v>
      </c>
      <c r="V16" s="92" t="e">
        <f>'C4 TRABA AER ESPEC'!V13/'C4 TRABA AER ESPEC'!V18</f>
        <v>#DIV/0!</v>
      </c>
      <c r="W16" s="92" t="e">
        <f>'C4 TRABA AER ESPEC'!W13/'C4 TRABA AER ESPEC'!W18</f>
        <v>#DIV/0!</v>
      </c>
      <c r="X16" s="136">
        <f>'C4 TRABA AER ESPEC'!X13/'C4 TRABA AER ESPEC'!X18</f>
        <v>1.7026284035852266</v>
      </c>
      <c r="Y16" s="136">
        <f>'C4 TRABA AER ESPEC'!Y13/'C4 TRABA AER ESPEC'!Y18</f>
        <v>1.1997855401358017</v>
      </c>
      <c r="Z16" s="92" t="e">
        <f>'C4 TRABA AER ESPEC'!Z13/'C4 TRABA AER ESPEC'!Z18</f>
        <v>#DIV/0!</v>
      </c>
      <c r="AA16" s="92" t="e">
        <f>'C4 TRABA AER ESPEC'!AA13/'C4 TRABA AER ESPEC'!AA18</f>
        <v>#DIV/0!</v>
      </c>
      <c r="AB16" s="136" t="e">
        <f>'C4 TRABA AER ESPEC'!AB13/'C4 TRABA AER ESPEC'!AB18</f>
        <v>#DIV/0!</v>
      </c>
      <c r="AC16" s="136" t="e">
        <f>'C4 TRABA AER ESPEC'!AC13/'C4 TRABA AER ESPEC'!AC18</f>
        <v>#DIV/0!</v>
      </c>
    </row>
    <row r="17" spans="1:29" ht="12.75">
      <c r="A17" s="41" t="s">
        <v>58</v>
      </c>
      <c r="B17" s="92">
        <f>'C4 TRABA AER ESPEC'!B13/'C4 TRABA AER ESPEC'!B15</f>
        <v>3.430832117901051</v>
      </c>
      <c r="C17" s="92">
        <f>'C4 TRABA AER ESPEC'!C13/'C4 TRABA AER ESPEC'!C15</f>
        <v>3.533282670012767</v>
      </c>
      <c r="D17" s="136">
        <f>'C4 TRABA AER ESPEC'!D13/'C4 TRABA AER ESPEC'!D15</f>
        <v>2.1388740519430876</v>
      </c>
      <c r="E17" s="136">
        <f>'C4 TRABA AER ESPEC'!E13/'C4 TRABA AER ESPEC'!E15</f>
        <v>1.9344870988042795</v>
      </c>
      <c r="F17" s="92">
        <f>'C4 TRABA AER ESPEC'!F13/'C4 TRABA AER ESPEC'!F15</f>
        <v>2.0643931508527342</v>
      </c>
      <c r="G17" s="92">
        <f>'C4 TRABA AER ESPEC'!G13/'C4 TRABA AER ESPEC'!G15</f>
        <v>3.3391493790687</v>
      </c>
      <c r="H17" s="136">
        <f>'C4 TRABA AER ESPEC'!H13/'C4 TRABA AER ESPEC'!H15</f>
        <v>21.43147972558425</v>
      </c>
      <c r="I17" s="136">
        <f>'C4 TRABA AER ESPEC'!I13/'C4 TRABA AER ESPEC'!I15</f>
        <v>3.909734634428312</v>
      </c>
      <c r="J17" s="92" t="e">
        <f>'C4 TRABA AER ESPEC'!J13/'C4 TRABA AER ESPEC'!J15</f>
        <v>#DIV/0!</v>
      </c>
      <c r="K17" s="92">
        <f>'C4 TRABA AER ESPEC'!K13/'C4 TRABA AER ESPEC'!K15</f>
        <v>10.053070102455607</v>
      </c>
      <c r="L17" s="136">
        <f>'C4 TRABA AER ESPEC'!L13/'C4 TRABA AER ESPEC'!L15</f>
        <v>13.581222596304416</v>
      </c>
      <c r="M17" s="136">
        <f>'C4 TRABA AER ESPEC'!M13/'C4 TRABA AER ESPEC'!M15</f>
        <v>15.13126224461237</v>
      </c>
      <c r="N17" s="92" t="e">
        <f>'C4 TRABA AER ESPEC'!N13/'C4 TRABA AER ESPEC'!N15</f>
        <v>#DIV/0!</v>
      </c>
      <c r="O17" s="92" t="e">
        <f>'C4 TRABA AER ESPEC'!O13/'C4 TRABA AER ESPEC'!O15</f>
        <v>#DIV/0!</v>
      </c>
      <c r="P17" s="136">
        <f>'C4 TRABA AER ESPEC'!P13/'C4 TRABA AER ESPEC'!P15</f>
        <v>1.1555890468633916</v>
      </c>
      <c r="Q17" s="136">
        <f>'C4 TRABA AER ESPEC'!Q13/'C4 TRABA AER ESPEC'!Q15</f>
        <v>1.2863093878211926</v>
      </c>
      <c r="R17" s="92">
        <f>'C4 TRABA AER ESPEC'!R13/'C4 TRABA AER ESPEC'!R15</f>
        <v>3.9914328509753814</v>
      </c>
      <c r="S17" s="92">
        <f>'C4 TRABA AER ESPEC'!S13/'C4 TRABA AER ESPEC'!S15</f>
        <v>3.5680025319341455</v>
      </c>
      <c r="T17" s="136">
        <f>'C4 TRABA AER ESPEC'!T13/'C4 TRABA AER ESPEC'!T15</f>
        <v>2.900442164897172</v>
      </c>
      <c r="U17" s="136">
        <f>'C4 TRABA AER ESPEC'!U13/'C4 TRABA AER ESPEC'!U15</f>
        <v>4.324825294155011</v>
      </c>
      <c r="V17" s="92" t="e">
        <f>'C4 TRABA AER ESPEC'!V13/'C4 TRABA AER ESPEC'!V15</f>
        <v>#DIV/0!</v>
      </c>
      <c r="W17" s="92" t="e">
        <f>'C4 TRABA AER ESPEC'!W13/'C4 TRABA AER ESPEC'!W15</f>
        <v>#DIV/0!</v>
      </c>
      <c r="X17" s="136">
        <f>'C4 TRABA AER ESPEC'!X13/'C4 TRABA AER ESPEC'!X15</f>
        <v>1.7026284035852266</v>
      </c>
      <c r="Y17" s="136">
        <f>'C4 TRABA AER ESPEC'!Y13/'C4 TRABA AER ESPEC'!Y15</f>
        <v>1.1997855401358017</v>
      </c>
      <c r="Z17" s="92" t="e">
        <f>'C4 TRABA AER ESPEC'!Z13/'C4 TRABA AER ESPEC'!Z15</f>
        <v>#DIV/0!</v>
      </c>
      <c r="AA17" s="92" t="e">
        <f>'C4 TRABA AER ESPEC'!AA13/'C4 TRABA AER ESPEC'!AA15</f>
        <v>#DIV/0!</v>
      </c>
      <c r="AB17" s="136" t="e">
        <f>'C4 TRABA AER ESPEC'!AB13/'C4 TRABA AER ESPEC'!AB15</f>
        <v>#DIV/0!</v>
      </c>
      <c r="AC17" s="136" t="e">
        <f>'C4 TRABA AER ESPEC'!AC13/'C4 TRABA AER ESPEC'!AC15</f>
        <v>#DIV/0!</v>
      </c>
    </row>
    <row r="18" spans="1:29" ht="12.75">
      <c r="A18" s="39" t="s">
        <v>49</v>
      </c>
      <c r="B18" s="93"/>
      <c r="C18" s="93"/>
      <c r="D18" s="137"/>
      <c r="E18" s="137"/>
      <c r="F18" s="93"/>
      <c r="G18" s="93"/>
      <c r="H18" s="137"/>
      <c r="I18" s="137"/>
      <c r="J18" s="93"/>
      <c r="K18" s="93"/>
      <c r="L18" s="137"/>
      <c r="M18" s="137"/>
      <c r="N18" s="93"/>
      <c r="O18" s="93"/>
      <c r="P18" s="137"/>
      <c r="Q18" s="137"/>
      <c r="R18" s="93"/>
      <c r="S18" s="93"/>
      <c r="T18" s="137"/>
      <c r="U18" s="137"/>
      <c r="V18" s="93"/>
      <c r="W18" s="93"/>
      <c r="X18" s="137"/>
      <c r="Y18" s="137"/>
      <c r="Z18" s="93"/>
      <c r="AA18" s="93"/>
      <c r="AB18" s="137"/>
      <c r="AC18" s="137"/>
    </row>
    <row r="19" spans="1:29" ht="12.75">
      <c r="A19" s="41" t="s">
        <v>50</v>
      </c>
      <c r="B19" s="92" t="e">
        <f>'C4 TRABA AER ESPEC'!B11/'C4 TRABA AER ESPEC'!B16</f>
        <v>#DIV/0!</v>
      </c>
      <c r="C19" s="92" t="e">
        <f>'C4 TRABA AER ESPEC'!C11/'C4 TRABA AER ESPEC'!C16</f>
        <v>#DIV/0!</v>
      </c>
      <c r="D19" s="136">
        <f>'C4 TRABA AER ESPEC'!D11/'C4 TRABA AER ESPEC'!D16</f>
        <v>4.262302447435688</v>
      </c>
      <c r="E19" s="136">
        <f>'C4 TRABA AER ESPEC'!E11/'C4 TRABA AER ESPEC'!E16</f>
        <v>14.642829628296283</v>
      </c>
      <c r="F19" s="92" t="e">
        <f>'C4 TRABA AER ESPEC'!F11/'C4 TRABA AER ESPEC'!F16</f>
        <v>#DIV/0!</v>
      </c>
      <c r="G19" s="92" t="e">
        <f>'C4 TRABA AER ESPEC'!G11/'C4 TRABA AER ESPEC'!G16</f>
        <v>#DIV/0!</v>
      </c>
      <c r="H19" s="136" t="e">
        <f>'C4 TRABA AER ESPEC'!H11/'C4 TRABA AER ESPEC'!H16</f>
        <v>#DIV/0!</v>
      </c>
      <c r="I19" s="136" t="e">
        <f>'C4 TRABA AER ESPEC'!I11/'C4 TRABA AER ESPEC'!I16</f>
        <v>#DIV/0!</v>
      </c>
      <c r="J19" s="92" t="e">
        <f>'C4 TRABA AER ESPEC'!J11/'C4 TRABA AER ESPEC'!J16</f>
        <v>#DIV/0!</v>
      </c>
      <c r="K19" s="92">
        <f>'C4 TRABA AER ESPEC'!K11/'C4 TRABA AER ESPEC'!K16</f>
        <v>1.209562074753199</v>
      </c>
      <c r="L19" s="136">
        <f>'C4 TRABA AER ESPEC'!L11/'C4 TRABA AER ESPEC'!L16</f>
        <v>1.4655288610407824</v>
      </c>
      <c r="M19" s="136">
        <f>'C4 TRABA AER ESPEC'!M11/'C4 TRABA AER ESPEC'!M16</f>
        <v>1.4972117721177212</v>
      </c>
      <c r="N19" s="92" t="e">
        <f>'C4 TRABA AER ESPEC'!N11/'C4 TRABA AER ESPEC'!N16</f>
        <v>#DIV/0!</v>
      </c>
      <c r="O19" s="92" t="e">
        <f>'C4 TRABA AER ESPEC'!O11/'C4 TRABA AER ESPEC'!O16</f>
        <v>#DIV/0!</v>
      </c>
      <c r="P19" s="136" t="e">
        <f>'C4 TRABA AER ESPEC'!P11/'C4 TRABA AER ESPEC'!P16</f>
        <v>#DIV/0!</v>
      </c>
      <c r="Q19" s="136" t="e">
        <f>'C4 TRABA AER ESPEC'!Q11/'C4 TRABA AER ESPEC'!Q16</f>
        <v>#DIV/0!</v>
      </c>
      <c r="R19" s="92" t="e">
        <f>'C4 TRABA AER ESPEC'!R11/'C4 TRABA AER ESPEC'!R16</f>
        <v>#DIV/0!</v>
      </c>
      <c r="S19" s="92" t="e">
        <f>'C4 TRABA AER ESPEC'!S11/'C4 TRABA AER ESPEC'!S16</f>
        <v>#DIV/0!</v>
      </c>
      <c r="T19" s="136" t="e">
        <f>'C4 TRABA AER ESPEC'!T11/'C4 TRABA AER ESPEC'!T16</f>
        <v>#DIV/0!</v>
      </c>
      <c r="U19" s="136" t="e">
        <f>'C4 TRABA AER ESPEC'!U11/'C4 TRABA AER ESPEC'!U16</f>
        <v>#DIV/0!</v>
      </c>
      <c r="V19" s="92" t="e">
        <f>'C4 TRABA AER ESPEC'!V11/'C4 TRABA AER ESPEC'!V16</f>
        <v>#DIV/0!</v>
      </c>
      <c r="W19" s="92" t="e">
        <f>'C4 TRABA AER ESPEC'!W11/'C4 TRABA AER ESPEC'!W16</f>
        <v>#DIV/0!</v>
      </c>
      <c r="X19" s="136" t="e">
        <f>'C4 TRABA AER ESPEC'!X11/'C4 TRABA AER ESPEC'!X16</f>
        <v>#DIV/0!</v>
      </c>
      <c r="Y19" s="136" t="e">
        <f>'C4 TRABA AER ESPEC'!Y11/'C4 TRABA AER ESPEC'!Y16</f>
        <v>#DIV/0!</v>
      </c>
      <c r="Z19" s="92" t="e">
        <f>'C4 TRABA AER ESPEC'!Z11/'C4 TRABA AER ESPEC'!Z16</f>
        <v>#DIV/0!</v>
      </c>
      <c r="AA19" s="92" t="e">
        <f>'C4 TRABA AER ESPEC'!AA11/'C4 TRABA AER ESPEC'!AA16</f>
        <v>#DIV/0!</v>
      </c>
      <c r="AB19" s="136" t="e">
        <f>'C4 TRABA AER ESPEC'!AB11/'C4 TRABA AER ESPEC'!AB16</f>
        <v>#DIV/0!</v>
      </c>
      <c r="AC19" s="136" t="e">
        <f>'C4 TRABA AER ESPEC'!AC11/'C4 TRABA AER ESPEC'!AC16</f>
        <v>#DIV/0!</v>
      </c>
    </row>
    <row r="20" spans="1:29" ht="12.75">
      <c r="A20" s="41" t="s">
        <v>48</v>
      </c>
      <c r="B20" s="92">
        <f>'C4 TRABA AER ESPEC'!B13/'C4 TRABA AER ESPEC'!B18</f>
        <v>3.430832117901051</v>
      </c>
      <c r="C20" s="92">
        <f>'C4 TRABA AER ESPEC'!C13/'C4 TRABA AER ESPEC'!C18</f>
        <v>3.533282670012767</v>
      </c>
      <c r="D20" s="136">
        <f>'C4 TRABA AER ESPEC'!D13/'C4 TRABA AER ESPEC'!D18</f>
        <v>1.9854731182784884</v>
      </c>
      <c r="E20" s="136">
        <f>'C4 TRABA AER ESPEC'!E13/'C4 TRABA AER ESPEC'!E18</f>
        <v>1.8623027565885495</v>
      </c>
      <c r="F20" s="92">
        <f>'C4 TRABA AER ESPEC'!F13/'C4 TRABA AER ESPEC'!F18</f>
        <v>2.0643931508527342</v>
      </c>
      <c r="G20" s="92">
        <f>'C4 TRABA AER ESPEC'!G13/'C4 TRABA AER ESPEC'!G18</f>
        <v>3.3391493790687</v>
      </c>
      <c r="H20" s="136">
        <f>'C4 TRABA AER ESPEC'!H13/'C4 TRABA AER ESPEC'!H18</f>
        <v>21.43147972558425</v>
      </c>
      <c r="I20" s="136">
        <f>'C4 TRABA AER ESPEC'!I13/'C4 TRABA AER ESPEC'!I18</f>
        <v>3.909734634428312</v>
      </c>
      <c r="J20" s="92" t="e">
        <f>'C4 TRABA AER ESPEC'!J13/'C4 TRABA AER ESPEC'!J18</f>
        <v>#DIV/0!</v>
      </c>
      <c r="K20" s="92">
        <f>'C4 TRABA AER ESPEC'!K13/'C4 TRABA AER ESPEC'!K18</f>
        <v>2.7661477581188474</v>
      </c>
      <c r="L20" s="136">
        <f>'C4 TRABA AER ESPEC'!L13/'C4 TRABA AER ESPEC'!L18</f>
        <v>3.215321769675288</v>
      </c>
      <c r="M20" s="136">
        <f>'C4 TRABA AER ESPEC'!M13/'C4 TRABA AER ESPEC'!M18</f>
        <v>4.697366134597721</v>
      </c>
      <c r="N20" s="92" t="e">
        <f>'C4 TRABA AER ESPEC'!N13/'C4 TRABA AER ESPEC'!N18</f>
        <v>#DIV/0!</v>
      </c>
      <c r="O20" s="92" t="e">
        <f>'C4 TRABA AER ESPEC'!O13/'C4 TRABA AER ESPEC'!O18</f>
        <v>#DIV/0!</v>
      </c>
      <c r="P20" s="136">
        <f>'C4 TRABA AER ESPEC'!P13/'C4 TRABA AER ESPEC'!P18</f>
        <v>1.1555890468633916</v>
      </c>
      <c r="Q20" s="136">
        <f>'C4 TRABA AER ESPEC'!Q13/'C4 TRABA AER ESPEC'!Q18</f>
        <v>1.2863093878211926</v>
      </c>
      <c r="R20" s="92">
        <f>'C4 TRABA AER ESPEC'!R13/'C4 TRABA AER ESPEC'!R18</f>
        <v>3.9914328509753814</v>
      </c>
      <c r="S20" s="92">
        <f>'C4 TRABA AER ESPEC'!S13/'C4 TRABA AER ESPEC'!S18</f>
        <v>3.5680025319341455</v>
      </c>
      <c r="T20" s="136">
        <f>'C4 TRABA AER ESPEC'!T13/'C4 TRABA AER ESPEC'!T18</f>
        <v>2.900442164897172</v>
      </c>
      <c r="U20" s="136">
        <f>'C4 TRABA AER ESPEC'!U13/'C4 TRABA AER ESPEC'!U18</f>
        <v>4.324825294155011</v>
      </c>
      <c r="V20" s="92" t="e">
        <f>'C4 TRABA AER ESPEC'!V13/'C4 TRABA AER ESPEC'!V18</f>
        <v>#DIV/0!</v>
      </c>
      <c r="W20" s="92" t="e">
        <f>'C4 TRABA AER ESPEC'!W13/'C4 TRABA AER ESPEC'!W18</f>
        <v>#DIV/0!</v>
      </c>
      <c r="X20" s="136">
        <f>'C4 TRABA AER ESPEC'!X13/'C4 TRABA AER ESPEC'!X18</f>
        <v>1.7026284035852266</v>
      </c>
      <c r="Y20" s="136">
        <f>'C4 TRABA AER ESPEC'!Y13/'C4 TRABA AER ESPEC'!Y18</f>
        <v>1.1997855401358017</v>
      </c>
      <c r="Z20" s="92" t="e">
        <f>'C4 TRABA AER ESPEC'!Z13/'C4 TRABA AER ESPEC'!Z18</f>
        <v>#DIV/0!</v>
      </c>
      <c r="AA20" s="92" t="e">
        <f>'C4 TRABA AER ESPEC'!AA13/'C4 TRABA AER ESPEC'!AA18</f>
        <v>#DIV/0!</v>
      </c>
      <c r="AB20" s="136" t="e">
        <f>'C4 TRABA AER ESPEC'!AB13/'C4 TRABA AER ESPEC'!AB18</f>
        <v>#DIV/0!</v>
      </c>
      <c r="AC20" s="136" t="e">
        <f>'C4 TRABA AER ESPEC'!AC13/'C4 TRABA AER ESPEC'!AC18</f>
        <v>#DIV/0!</v>
      </c>
    </row>
    <row r="21" spans="1:29" ht="12.75">
      <c r="A21" s="39" t="s">
        <v>51</v>
      </c>
      <c r="B21" s="93"/>
      <c r="C21" s="93"/>
      <c r="D21" s="137"/>
      <c r="E21" s="137"/>
      <c r="F21" s="93"/>
      <c r="G21" s="93"/>
      <c r="H21" s="137"/>
      <c r="I21" s="137"/>
      <c r="J21" s="93"/>
      <c r="K21" s="93"/>
      <c r="L21" s="137"/>
      <c r="M21" s="137"/>
      <c r="N21" s="93"/>
      <c r="O21" s="93"/>
      <c r="P21" s="137"/>
      <c r="Q21" s="137"/>
      <c r="R21" s="93"/>
      <c r="S21" s="93"/>
      <c r="T21" s="137"/>
      <c r="U21" s="137"/>
      <c r="V21" s="93"/>
      <c r="W21" s="93"/>
      <c r="X21" s="137"/>
      <c r="Y21" s="137"/>
      <c r="Z21" s="93"/>
      <c r="AA21" s="93"/>
      <c r="AB21" s="137"/>
      <c r="AC21" s="137"/>
    </row>
    <row r="22" spans="1:29" ht="12.75">
      <c r="A22" s="41" t="s">
        <v>56</v>
      </c>
      <c r="B22" s="92">
        <f>'C4 TRABA AER ESPEC'!B24/'C4 TRABA AER ESPEC'!B13</f>
        <v>0.7085255221955337</v>
      </c>
      <c r="C22" s="92">
        <f>'C4 TRABA AER ESPEC'!C24/'C4 TRABA AER ESPEC'!C13</f>
        <v>0.7169770736239575</v>
      </c>
      <c r="D22" s="136">
        <f>'C4 TRABA AER ESPEC'!D24/'C4 TRABA AER ESPEC'!D13</f>
        <v>0.4963417077804339</v>
      </c>
      <c r="E22" s="136">
        <f>'C4 TRABA AER ESPEC'!E24/'C4 TRABA AER ESPEC'!E13</f>
        <v>0.46303023762975726</v>
      </c>
      <c r="F22" s="92">
        <f>'C4 TRABA AER ESPEC'!F24/'C4 TRABA AER ESPEC'!F13</f>
        <v>0.5155961452463973</v>
      </c>
      <c r="G22" s="92">
        <f>'C4 TRABA AER ESPEC'!G24/'C4 TRABA AER ESPEC'!G13</f>
        <v>0.7005225323944916</v>
      </c>
      <c r="H22" s="136">
        <f>'C4 TRABA AER ESPEC'!H24/'C4 TRABA AER ESPEC'!H13</f>
        <v>0.9533396660984528</v>
      </c>
      <c r="I22" s="136">
        <f>'C4 TRABA AER ESPEC'!I24/'C4 TRABA AER ESPEC'!I13</f>
        <v>0.7442242747758964</v>
      </c>
      <c r="J22" s="92" t="e">
        <f>'C4 TRABA AER ESPEC'!J24/'C4 TRABA AER ESPEC'!J13</f>
        <v>#DIV/0!</v>
      </c>
      <c r="K22" s="92">
        <f>'C4 TRABA AER ESPEC'!K24/'C4 TRABA AER ESPEC'!K13</f>
        <v>0.6384864123527291</v>
      </c>
      <c r="L22" s="136">
        <f>'C4 TRABA AER ESPEC'!L24/'C4 TRABA AER ESPEC'!L13</f>
        <v>0.6889891365053057</v>
      </c>
      <c r="M22" s="136">
        <f>'C4 TRABA AER ESPEC'!M24/'C4 TRABA AER ESPEC'!M13</f>
        <v>0.7871147423159853</v>
      </c>
      <c r="N22" s="92" t="e">
        <f>'C4 TRABA AER ESPEC'!N24/'C4 TRABA AER ESPEC'!N13</f>
        <v>#DIV/0!</v>
      </c>
      <c r="O22" s="92" t="e">
        <f>'C4 TRABA AER ESPEC'!O24/'C4 TRABA AER ESPEC'!O13</f>
        <v>#DIV/0!</v>
      </c>
      <c r="P22" s="136">
        <f>'C4 TRABA AER ESPEC'!P24/'C4 TRABA AER ESPEC'!P13</f>
        <v>0.13464046521183812</v>
      </c>
      <c r="Q22" s="136">
        <f>'C4 TRABA AER ESPEC'!Q24/'C4 TRABA AER ESPEC'!Q13</f>
        <v>0.222582055710684</v>
      </c>
      <c r="R22" s="92">
        <f>'C4 TRABA AER ESPEC'!R24/'C4 TRABA AER ESPEC'!R13</f>
        <v>0.7494634039112968</v>
      </c>
      <c r="S22" s="92">
        <f>'C4 TRABA AER ESPEC'!S24/'C4 TRABA AER ESPEC'!S13</f>
        <v>0.7197311402651679</v>
      </c>
      <c r="T22" s="136">
        <f>'C4 TRABA AER ESPEC'!T24/'C4 TRABA AER ESPEC'!T13</f>
        <v>0.6552249818656692</v>
      </c>
      <c r="U22" s="136">
        <f>'C4 TRABA AER ESPEC'!U24/'C4 TRABA AER ESPEC'!U13</f>
        <v>0.7687767870412021</v>
      </c>
      <c r="V22" s="92" t="e">
        <f>'C4 TRABA AER ESPEC'!V24/'C4 TRABA AER ESPEC'!V13</f>
        <v>#DIV/0!</v>
      </c>
      <c r="W22" s="92" t="e">
        <f>'C4 TRABA AER ESPEC'!W24/'C4 TRABA AER ESPEC'!W13</f>
        <v>#DIV/0!</v>
      </c>
      <c r="X22" s="136">
        <f>'C4 TRABA AER ESPEC'!X24/'C4 TRABA AER ESPEC'!X13</f>
        <v>0.41267278409411073</v>
      </c>
      <c r="Y22" s="136">
        <f>'C4 TRABA AER ESPEC'!Y24/'C4 TRABA AER ESPEC'!Y13</f>
        <v>0.16651770958432155</v>
      </c>
      <c r="Z22" s="92" t="e">
        <f>'C4 TRABA AER ESPEC'!Z24/'C4 TRABA AER ESPEC'!Z13</f>
        <v>#DIV/0!</v>
      </c>
      <c r="AA22" s="92" t="e">
        <f>'C4 TRABA AER ESPEC'!AA24/'C4 TRABA AER ESPEC'!AA13</f>
        <v>#DIV/0!</v>
      </c>
      <c r="AB22" s="136" t="e">
        <f>'C4 TRABA AER ESPEC'!AB24/'C4 TRABA AER ESPEC'!AB13</f>
        <v>#DIV/0!</v>
      </c>
      <c r="AC22" s="136" t="e">
        <f>'C4 TRABA AER ESPEC'!AC24/'C4 TRABA AER ESPEC'!AC13</f>
        <v>#DIV/0!</v>
      </c>
    </row>
    <row r="23" spans="1:29" ht="12.75">
      <c r="A23" s="39" t="s">
        <v>52</v>
      </c>
      <c r="B23" s="93"/>
      <c r="C23" s="93"/>
      <c r="D23" s="137"/>
      <c r="E23" s="137"/>
      <c r="F23" s="93"/>
      <c r="G23" s="93"/>
      <c r="H23" s="137"/>
      <c r="I23" s="137"/>
      <c r="J23" s="93"/>
      <c r="K23" s="93"/>
      <c r="L23" s="137"/>
      <c r="M23" s="137"/>
      <c r="N23" s="93"/>
      <c r="O23" s="93"/>
      <c r="P23" s="137"/>
      <c r="Q23" s="137"/>
      <c r="R23" s="93"/>
      <c r="S23" s="93"/>
      <c r="T23" s="137"/>
      <c r="U23" s="137"/>
      <c r="V23" s="93"/>
      <c r="W23" s="93"/>
      <c r="X23" s="137"/>
      <c r="Y23" s="137"/>
      <c r="Z23" s="93"/>
      <c r="AA23" s="93"/>
      <c r="AB23" s="137"/>
      <c r="AC23" s="137"/>
    </row>
    <row r="24" spans="1:29" ht="12.75">
      <c r="A24" s="41" t="s">
        <v>60</v>
      </c>
      <c r="B24" s="92">
        <f>'C4 TRABA AER ESPEC'!B36/'C4 TRABA AER ESPEC'!B28</f>
        <v>0.10284506999590437</v>
      </c>
      <c r="C24" s="92">
        <f>'C4 TRABA AER ESPEC'!C36/'C4 TRABA AER ESPEC'!C28</f>
        <v>0.12053387074688131</v>
      </c>
      <c r="D24" s="136">
        <f>'C4 TRABA AER ESPEC'!D36/'C4 TRABA AER ESPEC'!D28</f>
        <v>0.08955591849339146</v>
      </c>
      <c r="E24" s="136">
        <f>'C4 TRABA AER ESPEC'!E36/'C4 TRABA AER ESPEC'!E28</f>
        <v>0.13439990359359344</v>
      </c>
      <c r="F24" s="92">
        <f>'C4 TRABA AER ESPEC'!F36/'C4 TRABA AER ESPEC'!F28</f>
        <v>0.2362584277197281</v>
      </c>
      <c r="G24" s="92">
        <f>'C4 TRABA AER ESPEC'!G36/'C4 TRABA AER ESPEC'!G28</f>
        <v>0.14598428150092913</v>
      </c>
      <c r="H24" s="136">
        <f>'C4 TRABA AER ESPEC'!H36/'C4 TRABA AER ESPEC'!H28</f>
        <v>0.10758476752082954</v>
      </c>
      <c r="I24" s="136">
        <f>'C4 TRABA AER ESPEC'!I36/'C4 TRABA AER ESPEC'!I28</f>
        <v>0.05331903576210296</v>
      </c>
      <c r="J24" s="92" t="e">
        <f>'C4 TRABA AER ESPEC'!J36/'C4 TRABA AER ESPEC'!J28</f>
        <v>#DIV/0!</v>
      </c>
      <c r="K24" s="92">
        <f>'C4 TRABA AER ESPEC'!K36/'C4 TRABA AER ESPEC'!K28</f>
        <v>0.14573637839179418</v>
      </c>
      <c r="L24" s="136">
        <f>'C4 TRABA AER ESPEC'!L36/'C4 TRABA AER ESPEC'!L28</f>
        <v>0.18050167994945246</v>
      </c>
      <c r="M24" s="136">
        <f>'C4 TRABA AER ESPEC'!M36/'C4 TRABA AER ESPEC'!M28</f>
        <v>0.11666733499364851</v>
      </c>
      <c r="N24" s="92" t="e">
        <f>'C4 TRABA AER ESPEC'!N36/'C4 TRABA AER ESPEC'!N28</f>
        <v>#DIV/0!</v>
      </c>
      <c r="O24" s="92" t="e">
        <f>'C4 TRABA AER ESPEC'!O36/'C4 TRABA AER ESPEC'!O28</f>
        <v>#DIV/0!</v>
      </c>
      <c r="P24" s="136">
        <f>'C4 TRABA AER ESPEC'!P36/'C4 TRABA AER ESPEC'!P28</f>
        <v>0.03397424170517685</v>
      </c>
      <c r="Q24" s="136">
        <f>'C4 TRABA AER ESPEC'!Q36/'C4 TRABA AER ESPEC'!Q28</f>
        <v>0.14416494600605115</v>
      </c>
      <c r="R24" s="92">
        <f>'C4 TRABA AER ESPEC'!R36/'C4 TRABA AER ESPEC'!R28</f>
        <v>0.07319207624221837</v>
      </c>
      <c r="S24" s="92">
        <f>'C4 TRABA AER ESPEC'!S36/'C4 TRABA AER ESPEC'!S28</f>
        <v>0.11249122012712215</v>
      </c>
      <c r="T24" s="136">
        <f>'C4 TRABA AER ESPEC'!T36/'C4 TRABA AER ESPEC'!T28</f>
        <v>0.16552150733302545</v>
      </c>
      <c r="U24" s="136">
        <f>'C4 TRABA AER ESPEC'!U36/'C4 TRABA AER ESPEC'!U28</f>
        <v>0.12865183512020836</v>
      </c>
      <c r="V24" s="92" t="e">
        <f>'C4 TRABA AER ESPEC'!V36/'C4 TRABA AER ESPEC'!V28</f>
        <v>#DIV/0!</v>
      </c>
      <c r="W24" s="92" t="e">
        <f>'C4 TRABA AER ESPEC'!W36/'C4 TRABA AER ESPEC'!W28</f>
        <v>#DIV/0!</v>
      </c>
      <c r="X24" s="136">
        <f>'C4 TRABA AER ESPEC'!X36/'C4 TRABA AER ESPEC'!X28</f>
        <v>0.11409601194968308</v>
      </c>
      <c r="Y24" s="136">
        <f>'C4 TRABA AER ESPEC'!Y36/'C4 TRABA AER ESPEC'!Y28</f>
        <v>0.16732670631650826</v>
      </c>
      <c r="Z24" s="92" t="e">
        <f>'C4 TRABA AER ESPEC'!Z36/'C4 TRABA AER ESPEC'!Z28</f>
        <v>#DIV/0!</v>
      </c>
      <c r="AA24" s="92" t="e">
        <f>'C4 TRABA AER ESPEC'!AA36/'C4 TRABA AER ESPEC'!AA28</f>
        <v>#DIV/0!</v>
      </c>
      <c r="AB24" s="136" t="e">
        <f>'C4 TRABA AER ESPEC'!AB36/'C4 TRABA AER ESPEC'!AB28</f>
        <v>#DIV/0!</v>
      </c>
      <c r="AC24" s="136" t="e">
        <f>'C4 TRABA AER ESPEC'!AC36/'C4 TRABA AER ESPEC'!AC28</f>
        <v>#DIV/0!</v>
      </c>
    </row>
    <row r="25" spans="1:29" ht="12.75">
      <c r="A25" s="41" t="s">
        <v>53</v>
      </c>
      <c r="B25" s="92">
        <f>'C4 TRABA AER ESPEC'!B37/'C4 TRABA AER ESPEC'!B30</f>
        <v>0.06218549077891332</v>
      </c>
      <c r="C25" s="92">
        <f>'C4 TRABA AER ESPEC'!C37/'C4 TRABA AER ESPEC'!C30</f>
        <v>0.041173344344486294</v>
      </c>
      <c r="D25" s="136">
        <f>'C4 TRABA AER ESPEC'!D37/'C4 TRABA AER ESPEC'!D30</f>
        <v>0.0441949672466796</v>
      </c>
      <c r="E25" s="136">
        <f>'C4 TRABA AER ESPEC'!E37/'C4 TRABA AER ESPEC'!E30</f>
        <v>0.05862442477257674</v>
      </c>
      <c r="F25" s="92">
        <f>'C4 TRABA AER ESPEC'!F37/'C4 TRABA AER ESPEC'!F30</f>
        <v>0.14233630755821722</v>
      </c>
      <c r="G25" s="92">
        <f>'C4 TRABA AER ESPEC'!G37/'C4 TRABA AER ESPEC'!G30</f>
        <v>0.08938404623489098</v>
      </c>
      <c r="H25" s="136">
        <f>'C4 TRABA AER ESPEC'!H37/'C4 TRABA AER ESPEC'!H30</f>
        <v>0.037103907505259145</v>
      </c>
      <c r="I25" s="136">
        <f>'C4 TRABA AER ESPEC'!I37/'C4 TRABA AER ESPEC'!I30</f>
        <v>0.03282181146996399</v>
      </c>
      <c r="J25" s="92" t="e">
        <f>'C4 TRABA AER ESPEC'!J37/'C4 TRABA AER ESPEC'!J30</f>
        <v>#DIV/0!</v>
      </c>
      <c r="K25" s="92">
        <f>'C4 TRABA AER ESPEC'!K37/'C4 TRABA AER ESPEC'!K30</f>
        <v>0.14573637839179418</v>
      </c>
      <c r="L25" s="136">
        <f>'C4 TRABA AER ESPEC'!L37/'C4 TRABA AER ESPEC'!L30</f>
        <v>0.12093600196024398</v>
      </c>
      <c r="M25" s="136">
        <f>'C4 TRABA AER ESPEC'!M37/'C4 TRABA AER ESPEC'!M30</f>
        <v>0.07816704641960527</v>
      </c>
      <c r="N25" s="92" t="e">
        <f>'C4 TRABA AER ESPEC'!N37/'C4 TRABA AER ESPEC'!N30</f>
        <v>#DIV/0!</v>
      </c>
      <c r="O25" s="92" t="e">
        <f>'C4 TRABA AER ESPEC'!O37/'C4 TRABA AER ESPEC'!O30</f>
        <v>#DIV/0!</v>
      </c>
      <c r="P25" s="136">
        <f>'C4 TRABA AER ESPEC'!P37/'C4 TRABA AER ESPEC'!P30</f>
        <v>0.01701655213134256</v>
      </c>
      <c r="Q25" s="136">
        <f>'C4 TRABA AER ESPEC'!Q37/'C4 TRABA AER ESPEC'!Q30</f>
        <v>0.07064209496726383</v>
      </c>
      <c r="R25" s="92">
        <f>'C4 TRABA AER ESPEC'!R37/'C4 TRABA AER ESPEC'!R30</f>
        <v>0.025193616885729204</v>
      </c>
      <c r="S25" s="92">
        <f>'C4 TRABA AER ESPEC'!S37/'C4 TRABA AER ESPEC'!S30</f>
        <v>0.025963242925742303</v>
      </c>
      <c r="T25" s="136">
        <f>'C4 TRABA AER ESPEC'!T37/'C4 TRABA AER ESPEC'!T30</f>
        <v>0.07782405411313484</v>
      </c>
      <c r="U25" s="136">
        <f>'C4 TRABA AER ESPEC'!U37/'C4 TRABA AER ESPEC'!U30</f>
        <v>0.04839584153313828</v>
      </c>
      <c r="V25" s="92" t="e">
        <f>'C4 TRABA AER ESPEC'!V37/'C4 TRABA AER ESPEC'!V30</f>
        <v>#DIV/0!</v>
      </c>
      <c r="W25" s="92" t="e">
        <f>'C4 TRABA AER ESPEC'!W37/'C4 TRABA AER ESPEC'!W30</f>
        <v>#DIV/0!</v>
      </c>
      <c r="X25" s="136">
        <f>'C4 TRABA AER ESPEC'!X37/'C4 TRABA AER ESPEC'!X30</f>
        <v>0.028046969511485755</v>
      </c>
      <c r="Y25" s="136">
        <f>'C4 TRABA AER ESPEC'!Y37/'C4 TRABA AER ESPEC'!Y30</f>
        <v>0.008784398681200328</v>
      </c>
      <c r="Z25" s="92" t="e">
        <f>'C4 TRABA AER ESPEC'!Z37/'C4 TRABA AER ESPEC'!Z30</f>
        <v>#DIV/0!</v>
      </c>
      <c r="AA25" s="92" t="e">
        <f>'C4 TRABA AER ESPEC'!AA37/'C4 TRABA AER ESPEC'!AA30</f>
        <v>#DIV/0!</v>
      </c>
      <c r="AB25" s="136" t="e">
        <f>'C4 TRABA AER ESPEC'!AB37/'C4 TRABA AER ESPEC'!AB30</f>
        <v>#DIV/0!</v>
      </c>
      <c r="AC25" s="136" t="e">
        <f>'C4 TRABA AER ESPEC'!AC37/'C4 TRABA AER ESPEC'!AC30</f>
        <v>#DIV/0!</v>
      </c>
    </row>
    <row r="26" spans="1:29" ht="12.75">
      <c r="A26" s="39" t="s">
        <v>54</v>
      </c>
      <c r="B26" s="38"/>
      <c r="C26" s="38"/>
      <c r="D26" s="138"/>
      <c r="E26" s="138"/>
      <c r="F26" s="38"/>
      <c r="G26" s="38"/>
      <c r="H26" s="138"/>
      <c r="I26" s="138"/>
      <c r="J26" s="38"/>
      <c r="K26" s="38"/>
      <c r="L26" s="138"/>
      <c r="M26" s="138"/>
      <c r="N26" s="38"/>
      <c r="O26" s="38"/>
      <c r="P26" s="138"/>
      <c r="Q26" s="138"/>
      <c r="R26" s="38"/>
      <c r="S26" s="38"/>
      <c r="T26" s="138"/>
      <c r="U26" s="138"/>
      <c r="V26" s="38"/>
      <c r="W26" s="38"/>
      <c r="X26" s="138"/>
      <c r="Y26" s="138"/>
      <c r="Z26" s="38"/>
      <c r="AA26" s="38"/>
      <c r="AB26" s="138"/>
      <c r="AC26" s="138"/>
    </row>
    <row r="27" spans="1:29" ht="13.5" thickBot="1">
      <c r="A27" s="43" t="s">
        <v>55</v>
      </c>
      <c r="B27" s="44">
        <f>'C4 TRABA AER ESPEC'!B10-'C4 TRABA AER ESPEC'!B15</f>
        <v>2634746.498</v>
      </c>
      <c r="C27" s="44">
        <f>'C4 TRABA AER ESPEC'!C10-'C4 TRABA AER ESPEC'!C15</f>
        <v>2582952.262</v>
      </c>
      <c r="D27" s="139">
        <f>'C4 TRABA AER ESPEC'!D10-'C4 TRABA AER ESPEC'!D15</f>
        <v>3249212.4580000006</v>
      </c>
      <c r="E27" s="139">
        <f>'C4 TRABA AER ESPEC'!E10-'C4 TRABA AER ESPEC'!E15</f>
        <v>211205</v>
      </c>
      <c r="F27" s="44">
        <f>'C4 TRABA AER ESPEC'!F10-'C4 TRABA AER ESPEC'!F15</f>
        <v>335620.856</v>
      </c>
      <c r="G27" s="44">
        <f>'C4 TRABA AER ESPEC'!G10-'C4 TRABA AER ESPEC'!G15</f>
        <v>361836</v>
      </c>
      <c r="H27" s="139">
        <f>'C4 TRABA AER ESPEC'!H10-'C4 TRABA AER ESPEC'!H15</f>
        <v>366316</v>
      </c>
      <c r="I27" s="139">
        <f>'C4 TRABA AER ESPEC'!I10-'C4 TRABA AER ESPEC'!I15</f>
        <v>120623</v>
      </c>
      <c r="J27" s="44">
        <f>'C4 TRABA AER ESPEC'!J10-'C4 TRABA AER ESPEC'!J15</f>
        <v>0</v>
      </c>
      <c r="K27" s="44">
        <f>'C4 TRABA AER ESPEC'!K10-'C4 TRABA AER ESPEC'!K15</f>
        <v>964111</v>
      </c>
      <c r="L27" s="139">
        <f>'C4 TRABA AER ESPEC'!L10-'C4 TRABA AER ESPEC'!L15</f>
        <v>801345</v>
      </c>
      <c r="M27" s="139">
        <f>'C4 TRABA AER ESPEC'!M10-'C4 TRABA AER ESPEC'!M15</f>
        <v>1349897</v>
      </c>
      <c r="N27" s="44">
        <f>'C4 TRABA AER ESPEC'!N10-'C4 TRABA AER ESPEC'!N15</f>
        <v>0</v>
      </c>
      <c r="O27" s="44">
        <f>'C4 TRABA AER ESPEC'!O10-'C4 TRABA AER ESPEC'!O15</f>
        <v>0</v>
      </c>
      <c r="P27" s="139">
        <f>'C4 TRABA AER ESPEC'!P10-'C4 TRABA AER ESPEC'!P15</f>
        <v>-479741</v>
      </c>
      <c r="Q27" s="139">
        <f>'C4 TRABA AER ESPEC'!Q10-'C4 TRABA AER ESPEC'!Q15</f>
        <v>-1229260</v>
      </c>
      <c r="R27" s="44">
        <f>'C4 TRABA AER ESPEC'!R10-'C4 TRABA AER ESPEC'!R15</f>
        <v>2299125.642</v>
      </c>
      <c r="S27" s="44">
        <f>'C4 TRABA AER ESPEC'!S10-'C4 TRABA AER ESPEC'!S15</f>
        <v>2221116.262</v>
      </c>
      <c r="T27" s="139">
        <f>'C4 TRABA AER ESPEC'!T10-'C4 TRABA AER ESPEC'!T15</f>
        <v>2302914.458</v>
      </c>
      <c r="U27" s="139">
        <f>'C4 TRABA AER ESPEC'!U10-'C4 TRABA AER ESPEC'!U15</f>
        <v>1182218</v>
      </c>
      <c r="V27" s="44">
        <f>'C4 TRABA AER ESPEC'!V10-'C4 TRABA AER ESPEC'!V15</f>
        <v>0</v>
      </c>
      <c r="W27" s="44">
        <f>'C4 TRABA AER ESPEC'!W10-'C4 TRABA AER ESPEC'!W15</f>
        <v>0</v>
      </c>
      <c r="X27" s="139">
        <f>'C4 TRABA AER ESPEC'!X10-'C4 TRABA AER ESPEC'!X15</f>
        <v>258378</v>
      </c>
      <c r="Y27" s="139">
        <f>'C4 TRABA AER ESPEC'!Y10-'C4 TRABA AER ESPEC'!Y15</f>
        <v>-1212273</v>
      </c>
      <c r="Z27" s="44">
        <f>'C4 TRABA AER ESPEC'!Z10-'C4 TRABA AER ESPEC'!Z15</f>
        <v>0</v>
      </c>
      <c r="AA27" s="44">
        <f>'C4 TRABA AER ESPEC'!AA10-'C4 TRABA AER ESPEC'!AA15</f>
        <v>0</v>
      </c>
      <c r="AB27" s="139">
        <f>'C4 TRABA AER ESPEC'!AB10-'C4 TRABA AER ESPEC'!AB15</f>
        <v>0</v>
      </c>
      <c r="AC27" s="139">
        <f>'C4 TRABA AER ESPEC'!AC10-'C4 TRABA AER ESPEC'!AC15</f>
        <v>0</v>
      </c>
    </row>
    <row r="28" ht="12.75">
      <c r="A28" s="34" t="s">
        <v>122</v>
      </c>
    </row>
  </sheetData>
  <sheetProtection/>
  <mergeCells count="8">
    <mergeCell ref="A6:A7"/>
    <mergeCell ref="Z6:AC6"/>
    <mergeCell ref="V6:Y6"/>
    <mergeCell ref="R6:U6"/>
    <mergeCell ref="F6:I6"/>
    <mergeCell ref="J6:M6"/>
    <mergeCell ref="B6:E6"/>
    <mergeCell ref="N6:Q6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FT47"/>
  <sheetViews>
    <sheetView zoomScalePageLayoutView="0" workbookViewId="0" topLeftCell="A4">
      <pane xSplit="1" ySplit="4" topLeftCell="BU17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A4" sqref="CA4"/>
    </sheetView>
  </sheetViews>
  <sheetFormatPr defaultColWidth="11.421875" defaultRowHeight="12.75"/>
  <cols>
    <col min="1" max="1" width="49.8515625" style="1" bestFit="1" customWidth="1"/>
    <col min="2" max="5" width="11.421875" style="1" bestFit="1" customWidth="1"/>
    <col min="6" max="9" width="10.421875" style="1" bestFit="1" customWidth="1"/>
    <col min="10" max="10" width="5.00390625" style="1" bestFit="1" customWidth="1"/>
    <col min="11" max="12" width="10.421875" style="1" bestFit="1" customWidth="1"/>
    <col min="13" max="14" width="5.00390625" style="1" bestFit="1" customWidth="1"/>
    <col min="15" max="20" width="8.8515625" style="1" bestFit="1" customWidth="1"/>
    <col min="21" max="21" width="10.421875" style="1" bestFit="1" customWidth="1"/>
    <col min="22" max="22" width="5.00390625" style="1" bestFit="1" customWidth="1"/>
    <col min="23" max="26" width="10.421875" style="1" bestFit="1" customWidth="1"/>
    <col min="27" max="27" width="5.00390625" style="1" bestFit="1" customWidth="1"/>
    <col min="28" max="28" width="10.421875" style="1" bestFit="1" customWidth="1"/>
    <col min="29" max="31" width="5.00390625" style="1" bestFit="1" customWidth="1"/>
    <col min="32" max="32" width="11.421875" style="1" bestFit="1" customWidth="1"/>
    <col min="33" max="35" width="10.421875" style="1" bestFit="1" customWidth="1"/>
    <col min="36" max="36" width="8.8515625" style="1" bestFit="1" customWidth="1"/>
    <col min="37" max="42" width="5.00390625" style="1" bestFit="1" customWidth="1"/>
    <col min="43" max="47" width="10.421875" style="1" bestFit="1" customWidth="1"/>
    <col min="48" max="48" width="11.421875" style="1" bestFit="1" customWidth="1"/>
    <col min="49" max="49" width="5.00390625" style="1" bestFit="1" customWidth="1"/>
    <col min="50" max="51" width="8.8515625" style="1" bestFit="1" customWidth="1"/>
    <col min="52" max="52" width="10.421875" style="1" bestFit="1" customWidth="1"/>
    <col min="53" max="56" width="11.421875" style="1" bestFit="1" customWidth="1"/>
    <col min="57" max="57" width="5.00390625" style="1" bestFit="1" customWidth="1"/>
    <col min="58" max="60" width="10.421875" style="1" bestFit="1" customWidth="1"/>
    <col min="61" max="61" width="5.00390625" style="1" bestFit="1" customWidth="1"/>
    <col min="62" max="62" width="7.8515625" style="1" bestFit="1" customWidth="1"/>
    <col min="63" max="64" width="8.8515625" style="1" bestFit="1" customWidth="1"/>
    <col min="65" max="68" width="11.421875" style="1" bestFit="1" customWidth="1"/>
    <col min="69" max="70" width="5.00390625" style="1" bestFit="1" customWidth="1"/>
    <col min="71" max="71" width="8.8515625" style="1" bestFit="1" customWidth="1"/>
    <col min="72" max="72" width="10.421875" style="1" bestFit="1" customWidth="1"/>
    <col min="73" max="80" width="8.8515625" style="1" bestFit="1" customWidth="1"/>
    <col min="81" max="82" width="5.00390625" style="1" bestFit="1" customWidth="1"/>
    <col min="83" max="83" width="8.8515625" style="1" bestFit="1" customWidth="1"/>
    <col min="84" max="84" width="5.00390625" style="1" bestFit="1" customWidth="1"/>
    <col min="85" max="88" width="10.421875" style="1" bestFit="1" customWidth="1"/>
    <col min="89" max="89" width="5.00390625" style="1" bestFit="1" customWidth="1"/>
    <col min="90" max="92" width="8.8515625" style="1" bestFit="1" customWidth="1"/>
    <col min="93" max="93" width="5.00390625" style="1" bestFit="1" customWidth="1"/>
    <col min="94" max="94" width="8.8515625" style="1" bestFit="1" customWidth="1"/>
    <col min="95" max="98" width="5.00390625" style="1" bestFit="1" customWidth="1"/>
    <col min="99" max="99" width="10.421875" style="1" bestFit="1" customWidth="1"/>
    <col min="100" max="103" width="8.8515625" style="1" bestFit="1" customWidth="1"/>
    <col min="104" max="104" width="5.00390625" style="1" bestFit="1" customWidth="1"/>
    <col min="105" max="111" width="10.421875" style="1" bestFit="1" customWidth="1"/>
    <col min="112" max="115" width="5.00390625" style="1" bestFit="1" customWidth="1"/>
    <col min="116" max="116" width="8.8515625" style="1" bestFit="1" customWidth="1"/>
    <col min="117" max="120" width="5.00390625" style="1" bestFit="1" customWidth="1"/>
    <col min="121" max="123" width="8.8515625" style="1" bestFit="1" customWidth="1"/>
    <col min="124" max="124" width="5.00390625" style="1" bestFit="1" customWidth="1"/>
    <col min="125" max="126" width="8.8515625" style="1" bestFit="1" customWidth="1"/>
    <col min="127" max="128" width="5.00390625" style="1" bestFit="1" customWidth="1"/>
    <col min="129" max="131" width="8.8515625" style="1" bestFit="1" customWidth="1"/>
    <col min="132" max="132" width="5.00390625" style="1" bestFit="1" customWidth="1"/>
    <col min="133" max="139" width="10.421875" style="1" bestFit="1" customWidth="1"/>
    <col min="140" max="146" width="8.8515625" style="1" bestFit="1" customWidth="1"/>
    <col min="147" max="149" width="5.00390625" style="1" bestFit="1" customWidth="1"/>
    <col min="150" max="150" width="8.8515625" style="1" bestFit="1" customWidth="1"/>
    <col min="151" max="151" width="10.421875" style="1" bestFit="1" customWidth="1"/>
    <col min="152" max="152" width="8.8515625" style="1" bestFit="1" customWidth="1"/>
    <col min="153" max="155" width="10.421875" style="1" bestFit="1" customWidth="1"/>
    <col min="156" max="156" width="5.00390625" style="1" bestFit="1" customWidth="1"/>
    <col min="157" max="158" width="8.8515625" style="1" bestFit="1" customWidth="1"/>
    <col min="159" max="159" width="5.00390625" style="1" bestFit="1" customWidth="1"/>
    <col min="160" max="160" width="8.8515625" style="1" bestFit="1" customWidth="1"/>
    <col min="161" max="161" width="5.00390625" style="1" bestFit="1" customWidth="1"/>
    <col min="162" max="162" width="8.8515625" style="1" bestFit="1" customWidth="1"/>
    <col min="163" max="163" width="5.00390625" style="1" bestFit="1" customWidth="1"/>
    <col min="164" max="164" width="10.421875" style="1" bestFit="1" customWidth="1"/>
    <col min="165" max="166" width="5.00390625" style="1" bestFit="1" customWidth="1"/>
    <col min="167" max="167" width="10.421875" style="1" bestFit="1" customWidth="1"/>
    <col min="168" max="170" width="5.00390625" style="1" bestFit="1" customWidth="1"/>
    <col min="171" max="171" width="8.8515625" style="1" bestFit="1" customWidth="1"/>
    <col min="172" max="172" width="11.57421875" style="0" customWidth="1"/>
    <col min="173" max="173" width="17.421875" style="0" customWidth="1"/>
    <col min="174" max="191" width="11.57421875" style="0" customWidth="1"/>
    <col min="192" max="16384" width="11.421875" style="1" customWidth="1"/>
  </cols>
  <sheetData>
    <row r="1" ht="12.75">
      <c r="A1" s="49" t="s">
        <v>79</v>
      </c>
    </row>
    <row r="2" ht="12.75">
      <c r="A2" s="22" t="s">
        <v>128</v>
      </c>
    </row>
    <row r="3" spans="1:163" ht="12.75">
      <c r="A3" s="49" t="s">
        <v>64</v>
      </c>
      <c r="AE3" s="167"/>
      <c r="BF3" s="76"/>
      <c r="BG3" s="76"/>
      <c r="BH3" s="76"/>
      <c r="CT3" s="167"/>
      <c r="FF3" s="167"/>
      <c r="FG3" s="167"/>
    </row>
    <row r="4" spans="1:155" ht="12.75">
      <c r="A4" s="49" t="s">
        <v>141</v>
      </c>
      <c r="T4" s="187"/>
      <c r="U4" s="187"/>
      <c r="AE4" s="166"/>
      <c r="AM4" s="166"/>
      <c r="AN4" s="166"/>
      <c r="AQ4" s="166"/>
      <c r="AR4" s="166"/>
      <c r="AU4" s="166"/>
      <c r="AV4" s="166"/>
      <c r="BF4" s="57"/>
      <c r="BG4" s="57"/>
      <c r="BH4" s="57"/>
      <c r="DN4" s="166"/>
      <c r="DO4" s="166"/>
      <c r="EX4" s="166"/>
      <c r="EY4" s="166"/>
    </row>
    <row r="5" spans="1:171" ht="13.5" thickBot="1">
      <c r="A5" s="49" t="s">
        <v>63</v>
      </c>
      <c r="I5" s="1">
        <v>1</v>
      </c>
      <c r="M5" s="1">
        <v>2</v>
      </c>
      <c r="Q5" s="1">
        <v>3</v>
      </c>
      <c r="U5" s="1">
        <v>4</v>
      </c>
      <c r="Y5" s="1">
        <v>5</v>
      </c>
      <c r="AE5" s="1">
        <v>6</v>
      </c>
      <c r="AF5" s="1">
        <v>6</v>
      </c>
      <c r="AJ5" s="1">
        <v>7</v>
      </c>
      <c r="AN5" s="1">
        <v>8</v>
      </c>
      <c r="AR5" s="1">
        <v>9</v>
      </c>
      <c r="AV5" s="1">
        <v>9</v>
      </c>
      <c r="AZ5" s="1">
        <v>10</v>
      </c>
      <c r="BD5" s="1">
        <v>11</v>
      </c>
      <c r="BH5" s="1">
        <v>12</v>
      </c>
      <c r="BL5" s="1">
        <v>13</v>
      </c>
      <c r="BP5" s="1">
        <v>14</v>
      </c>
      <c r="BT5" s="1">
        <v>15</v>
      </c>
      <c r="BX5" s="1">
        <v>16</v>
      </c>
      <c r="CB5" s="1">
        <v>17</v>
      </c>
      <c r="CF5" s="1">
        <v>18</v>
      </c>
      <c r="CJ5" s="1">
        <v>19</v>
      </c>
      <c r="CN5" s="1">
        <v>20</v>
      </c>
      <c r="CT5" s="1">
        <v>22</v>
      </c>
      <c r="CU5" s="1">
        <v>21</v>
      </c>
      <c r="CY5" s="1">
        <v>22</v>
      </c>
      <c r="DC5" s="1">
        <v>23</v>
      </c>
      <c r="DG5" s="1">
        <v>24</v>
      </c>
      <c r="DK5" s="1">
        <v>25</v>
      </c>
      <c r="DO5" s="1">
        <v>26</v>
      </c>
      <c r="DS5" s="1">
        <v>27</v>
      </c>
      <c r="DW5" s="1">
        <v>28</v>
      </c>
      <c r="EA5" s="1">
        <v>29</v>
      </c>
      <c r="EE5" s="1">
        <v>30</v>
      </c>
      <c r="EI5" s="1">
        <v>31</v>
      </c>
      <c r="EM5" s="1">
        <v>32</v>
      </c>
      <c r="EQ5" s="1">
        <v>33</v>
      </c>
      <c r="EU5" s="1">
        <v>34</v>
      </c>
      <c r="EY5" s="1">
        <v>35</v>
      </c>
      <c r="FC5" s="1">
        <v>36</v>
      </c>
      <c r="FG5" s="1">
        <v>37</v>
      </c>
      <c r="FK5" s="1">
        <v>38</v>
      </c>
      <c r="FO5" s="1">
        <v>38</v>
      </c>
    </row>
    <row r="6" spans="1:171" ht="27.75" customHeight="1" thickBot="1">
      <c r="A6" s="247" t="s">
        <v>57</v>
      </c>
      <c r="B6" s="298" t="s">
        <v>9</v>
      </c>
      <c r="C6" s="299"/>
      <c r="D6" s="299"/>
      <c r="E6" s="300"/>
      <c r="F6" s="295" t="s">
        <v>91</v>
      </c>
      <c r="G6" s="296"/>
      <c r="H6" s="296"/>
      <c r="I6" s="297"/>
      <c r="J6" s="295" t="s">
        <v>99</v>
      </c>
      <c r="K6" s="296"/>
      <c r="L6" s="296"/>
      <c r="M6" s="297"/>
      <c r="N6" s="295" t="s">
        <v>100</v>
      </c>
      <c r="O6" s="296"/>
      <c r="P6" s="296"/>
      <c r="Q6" s="297"/>
      <c r="R6" s="295" t="s">
        <v>89</v>
      </c>
      <c r="S6" s="296"/>
      <c r="T6" s="296"/>
      <c r="U6" s="297"/>
      <c r="V6" s="295" t="s">
        <v>88</v>
      </c>
      <c r="W6" s="296"/>
      <c r="X6" s="296"/>
      <c r="Y6" s="297"/>
      <c r="Z6" s="295" t="s">
        <v>101</v>
      </c>
      <c r="AA6" s="296"/>
      <c r="AB6" s="296"/>
      <c r="AC6" s="296" t="s">
        <v>109</v>
      </c>
      <c r="AD6" s="301"/>
      <c r="AE6" s="301"/>
      <c r="AF6" s="302"/>
      <c r="AG6" s="295" t="s">
        <v>35</v>
      </c>
      <c r="AH6" s="296"/>
      <c r="AI6" s="296"/>
      <c r="AJ6" s="297"/>
      <c r="AK6" s="295" t="s">
        <v>110</v>
      </c>
      <c r="AL6" s="296"/>
      <c r="AM6" s="296"/>
      <c r="AN6" s="297"/>
      <c r="AO6" s="295" t="s">
        <v>111</v>
      </c>
      <c r="AP6" s="296"/>
      <c r="AQ6" s="296"/>
      <c r="AR6" s="297"/>
      <c r="AS6" s="295" t="s">
        <v>82</v>
      </c>
      <c r="AT6" s="296"/>
      <c r="AU6" s="296"/>
      <c r="AV6" s="297"/>
      <c r="AW6" s="295" t="s">
        <v>113</v>
      </c>
      <c r="AX6" s="296"/>
      <c r="AY6" s="296"/>
      <c r="AZ6" s="297"/>
      <c r="BA6" s="295" t="s">
        <v>112</v>
      </c>
      <c r="BB6" s="296"/>
      <c r="BC6" s="296"/>
      <c r="BD6" s="297"/>
      <c r="BE6" s="295" t="s">
        <v>114</v>
      </c>
      <c r="BF6" s="296"/>
      <c r="BG6" s="296"/>
      <c r="BH6" s="297"/>
      <c r="BI6" s="295" t="s">
        <v>87</v>
      </c>
      <c r="BJ6" s="296"/>
      <c r="BK6" s="296"/>
      <c r="BL6" s="297"/>
      <c r="BM6" s="295" t="s">
        <v>6</v>
      </c>
      <c r="BN6" s="296"/>
      <c r="BO6" s="296"/>
      <c r="BP6" s="297"/>
      <c r="BQ6" s="295" t="s">
        <v>115</v>
      </c>
      <c r="BR6" s="296"/>
      <c r="BS6" s="296"/>
      <c r="BT6" s="297"/>
      <c r="BU6" s="295" t="s">
        <v>103</v>
      </c>
      <c r="BV6" s="296"/>
      <c r="BW6" s="296"/>
      <c r="BX6" s="297"/>
      <c r="BY6" s="295" t="s">
        <v>104</v>
      </c>
      <c r="BZ6" s="296"/>
      <c r="CA6" s="296"/>
      <c r="CB6" s="297"/>
      <c r="CC6" s="295" t="s">
        <v>164</v>
      </c>
      <c r="CD6" s="296"/>
      <c r="CE6" s="296"/>
      <c r="CF6" s="297"/>
      <c r="CG6" s="295" t="s">
        <v>92</v>
      </c>
      <c r="CH6" s="296"/>
      <c r="CI6" s="296"/>
      <c r="CJ6" s="297"/>
      <c r="CK6" s="295" t="s">
        <v>94</v>
      </c>
      <c r="CL6" s="296"/>
      <c r="CM6" s="296"/>
      <c r="CN6" s="297"/>
      <c r="CO6" s="295" t="s">
        <v>106</v>
      </c>
      <c r="CP6" s="296"/>
      <c r="CQ6" s="296"/>
      <c r="CR6" s="296"/>
      <c r="CS6" s="296"/>
      <c r="CT6" s="296"/>
      <c r="CU6" s="297"/>
      <c r="CV6" s="295" t="s">
        <v>97</v>
      </c>
      <c r="CW6" s="296"/>
      <c r="CX6" s="296"/>
      <c r="CY6" s="297"/>
      <c r="CZ6" s="295" t="s">
        <v>85</v>
      </c>
      <c r="DA6" s="296"/>
      <c r="DB6" s="296"/>
      <c r="DC6" s="297"/>
      <c r="DD6" s="295" t="s">
        <v>34</v>
      </c>
      <c r="DE6" s="296"/>
      <c r="DF6" s="296"/>
      <c r="DG6" s="297"/>
      <c r="DH6" s="295" t="s">
        <v>116</v>
      </c>
      <c r="DI6" s="296"/>
      <c r="DJ6" s="296"/>
      <c r="DK6" s="297"/>
      <c r="DL6" s="295" t="s">
        <v>117</v>
      </c>
      <c r="DM6" s="296"/>
      <c r="DN6" s="296"/>
      <c r="DO6" s="297"/>
      <c r="DP6" s="295" t="s">
        <v>83</v>
      </c>
      <c r="DQ6" s="296"/>
      <c r="DR6" s="296"/>
      <c r="DS6" s="297"/>
      <c r="DT6" s="295" t="s">
        <v>86</v>
      </c>
      <c r="DU6" s="296"/>
      <c r="DV6" s="296"/>
      <c r="DW6" s="297"/>
      <c r="DX6" s="295" t="s">
        <v>96</v>
      </c>
      <c r="DY6" s="296"/>
      <c r="DZ6" s="296"/>
      <c r="EA6" s="297"/>
      <c r="EB6" s="295" t="s">
        <v>0</v>
      </c>
      <c r="EC6" s="296"/>
      <c r="ED6" s="296"/>
      <c r="EE6" s="297"/>
      <c r="EF6" s="295" t="s">
        <v>5</v>
      </c>
      <c r="EG6" s="296"/>
      <c r="EH6" s="296"/>
      <c r="EI6" s="297"/>
      <c r="EJ6" s="295" t="s">
        <v>95</v>
      </c>
      <c r="EK6" s="296"/>
      <c r="EL6" s="296"/>
      <c r="EM6" s="297"/>
      <c r="EN6" s="295" t="s">
        <v>163</v>
      </c>
      <c r="EO6" s="296"/>
      <c r="EP6" s="296"/>
      <c r="EQ6" s="297"/>
      <c r="ER6" s="295" t="s">
        <v>108</v>
      </c>
      <c r="ES6" s="296"/>
      <c r="ET6" s="296"/>
      <c r="EU6" s="297"/>
      <c r="EV6" s="295" t="s">
        <v>84</v>
      </c>
      <c r="EW6" s="296"/>
      <c r="EX6" s="296"/>
      <c r="EY6" s="297"/>
      <c r="EZ6" s="295" t="s">
        <v>4</v>
      </c>
      <c r="FA6" s="296"/>
      <c r="FB6" s="296"/>
      <c r="FC6" s="297"/>
      <c r="FD6" s="295" t="s">
        <v>118</v>
      </c>
      <c r="FE6" s="296"/>
      <c r="FF6" s="296"/>
      <c r="FG6" s="297"/>
      <c r="FH6" s="295" t="s">
        <v>119</v>
      </c>
      <c r="FI6" s="296"/>
      <c r="FJ6" s="296"/>
      <c r="FK6" s="296"/>
      <c r="FL6" s="278" t="s">
        <v>143</v>
      </c>
      <c r="FM6" s="279"/>
      <c r="FN6" s="279"/>
      <c r="FO6" s="280"/>
    </row>
    <row r="7" spans="1:171" ht="13.5" thickBot="1">
      <c r="A7" s="248"/>
      <c r="B7" s="249">
        <v>2008</v>
      </c>
      <c r="C7" s="249">
        <v>2009</v>
      </c>
      <c r="D7" s="249">
        <v>2010</v>
      </c>
      <c r="E7" s="249">
        <v>2011</v>
      </c>
      <c r="F7" s="249">
        <v>2008</v>
      </c>
      <c r="G7" s="249">
        <v>2009</v>
      </c>
      <c r="H7" s="249">
        <v>2010</v>
      </c>
      <c r="I7" s="249">
        <v>2011</v>
      </c>
      <c r="J7" s="249">
        <v>2008</v>
      </c>
      <c r="K7" s="249">
        <v>2009</v>
      </c>
      <c r="L7" s="249">
        <v>2010</v>
      </c>
      <c r="M7" s="249">
        <v>2011</v>
      </c>
      <c r="N7" s="249">
        <v>2008</v>
      </c>
      <c r="O7" s="249">
        <v>2009</v>
      </c>
      <c r="P7" s="249">
        <v>2010</v>
      </c>
      <c r="Q7" s="249">
        <v>2011</v>
      </c>
      <c r="R7" s="249">
        <v>2008</v>
      </c>
      <c r="S7" s="249">
        <v>2009</v>
      </c>
      <c r="T7" s="249">
        <v>2010</v>
      </c>
      <c r="U7" s="249">
        <v>2011</v>
      </c>
      <c r="V7" s="249">
        <v>2008</v>
      </c>
      <c r="W7" s="249">
        <v>2009</v>
      </c>
      <c r="X7" s="249">
        <v>2010</v>
      </c>
      <c r="Y7" s="249">
        <v>2011</v>
      </c>
      <c r="Z7" s="249">
        <v>2008</v>
      </c>
      <c r="AA7" s="249">
        <v>2009</v>
      </c>
      <c r="AB7" s="249">
        <v>2010</v>
      </c>
      <c r="AC7" s="249">
        <v>2008</v>
      </c>
      <c r="AD7" s="249">
        <v>2009</v>
      </c>
      <c r="AE7" s="249">
        <v>2010</v>
      </c>
      <c r="AF7" s="249">
        <v>2011</v>
      </c>
      <c r="AG7" s="249">
        <v>2008</v>
      </c>
      <c r="AH7" s="249">
        <v>2009</v>
      </c>
      <c r="AI7" s="249">
        <v>2010</v>
      </c>
      <c r="AJ7" s="249">
        <v>2011</v>
      </c>
      <c r="AK7" s="249">
        <v>2008</v>
      </c>
      <c r="AL7" s="249">
        <v>2009</v>
      </c>
      <c r="AM7" s="249">
        <v>2010</v>
      </c>
      <c r="AN7" s="249">
        <v>2011</v>
      </c>
      <c r="AO7" s="249">
        <v>2008</v>
      </c>
      <c r="AP7" s="249">
        <v>2009</v>
      </c>
      <c r="AQ7" s="249">
        <v>2010</v>
      </c>
      <c r="AR7" s="249">
        <v>2011</v>
      </c>
      <c r="AS7" s="249">
        <v>2008</v>
      </c>
      <c r="AT7" s="249">
        <v>2009</v>
      </c>
      <c r="AU7" s="249">
        <v>2010</v>
      </c>
      <c r="AV7" s="249">
        <v>2011</v>
      </c>
      <c r="AW7" s="249">
        <v>2008</v>
      </c>
      <c r="AX7" s="249">
        <v>2009</v>
      </c>
      <c r="AY7" s="249">
        <v>2010</v>
      </c>
      <c r="AZ7" s="249">
        <v>2011</v>
      </c>
      <c r="BA7" s="249">
        <v>2008</v>
      </c>
      <c r="BB7" s="249">
        <v>2009</v>
      </c>
      <c r="BC7" s="249">
        <v>2010</v>
      </c>
      <c r="BD7" s="249">
        <v>2011</v>
      </c>
      <c r="BE7" s="249">
        <v>2008</v>
      </c>
      <c r="BF7" s="249">
        <v>2009</v>
      </c>
      <c r="BG7" s="249">
        <v>2010</v>
      </c>
      <c r="BH7" s="249">
        <v>2011</v>
      </c>
      <c r="BI7" s="249">
        <v>2008</v>
      </c>
      <c r="BJ7" s="249">
        <v>2009</v>
      </c>
      <c r="BK7" s="249">
        <v>2010</v>
      </c>
      <c r="BL7" s="249">
        <v>2011</v>
      </c>
      <c r="BM7" s="249">
        <v>2008</v>
      </c>
      <c r="BN7" s="249">
        <v>2009</v>
      </c>
      <c r="BO7" s="249">
        <v>2010</v>
      </c>
      <c r="BP7" s="249">
        <v>2011</v>
      </c>
      <c r="BQ7" s="249">
        <v>2008</v>
      </c>
      <c r="BR7" s="249">
        <v>2009</v>
      </c>
      <c r="BS7" s="249">
        <v>2010</v>
      </c>
      <c r="BT7" s="249">
        <v>2011</v>
      </c>
      <c r="BU7" s="249">
        <v>2008</v>
      </c>
      <c r="BV7" s="249">
        <v>2009</v>
      </c>
      <c r="BW7" s="249">
        <v>2010</v>
      </c>
      <c r="BX7" s="249">
        <v>2011</v>
      </c>
      <c r="BY7" s="249">
        <v>2008</v>
      </c>
      <c r="BZ7" s="249">
        <v>2009</v>
      </c>
      <c r="CA7" s="249">
        <v>2010</v>
      </c>
      <c r="CB7" s="249">
        <v>2011</v>
      </c>
      <c r="CC7" s="249">
        <v>2008</v>
      </c>
      <c r="CD7" s="249">
        <v>2009</v>
      </c>
      <c r="CE7" s="249">
        <v>2010</v>
      </c>
      <c r="CF7" s="249">
        <v>2011</v>
      </c>
      <c r="CG7" s="249">
        <v>2008</v>
      </c>
      <c r="CH7" s="249">
        <v>2009</v>
      </c>
      <c r="CI7" s="249">
        <v>2010</v>
      </c>
      <c r="CJ7" s="249">
        <v>2011</v>
      </c>
      <c r="CK7" s="249">
        <v>2008</v>
      </c>
      <c r="CL7" s="249">
        <v>2009</v>
      </c>
      <c r="CM7" s="249">
        <v>2010</v>
      </c>
      <c r="CN7" s="249">
        <v>2011</v>
      </c>
      <c r="CO7" s="249">
        <v>2008</v>
      </c>
      <c r="CP7" s="249">
        <v>2009</v>
      </c>
      <c r="CQ7" s="249">
        <v>2010</v>
      </c>
      <c r="CR7" s="249">
        <v>2008</v>
      </c>
      <c r="CS7" s="249">
        <v>2009</v>
      </c>
      <c r="CT7" s="249">
        <v>2010</v>
      </c>
      <c r="CU7" s="249">
        <v>2011</v>
      </c>
      <c r="CV7" s="249">
        <v>2008</v>
      </c>
      <c r="CW7" s="249">
        <v>2009</v>
      </c>
      <c r="CX7" s="249">
        <v>2010</v>
      </c>
      <c r="CY7" s="249">
        <v>2011</v>
      </c>
      <c r="CZ7" s="249">
        <v>2008</v>
      </c>
      <c r="DA7" s="249">
        <v>2009</v>
      </c>
      <c r="DB7" s="249">
        <v>2010</v>
      </c>
      <c r="DC7" s="249">
        <v>2011</v>
      </c>
      <c r="DD7" s="249">
        <v>2008</v>
      </c>
      <c r="DE7" s="249">
        <v>2009</v>
      </c>
      <c r="DF7" s="249">
        <v>2010</v>
      </c>
      <c r="DG7" s="249">
        <v>2011</v>
      </c>
      <c r="DH7" s="249">
        <v>2008</v>
      </c>
      <c r="DI7" s="249">
        <v>2009</v>
      </c>
      <c r="DJ7" s="249">
        <v>2010</v>
      </c>
      <c r="DK7" s="249">
        <v>2011</v>
      </c>
      <c r="DL7" s="249">
        <v>2008</v>
      </c>
      <c r="DM7" s="249">
        <v>2009</v>
      </c>
      <c r="DN7" s="249">
        <v>2010</v>
      </c>
      <c r="DO7" s="249">
        <v>2011</v>
      </c>
      <c r="DP7" s="249">
        <v>2008</v>
      </c>
      <c r="DQ7" s="249">
        <v>2009</v>
      </c>
      <c r="DR7" s="249">
        <v>2010</v>
      </c>
      <c r="DS7" s="249">
        <v>2011</v>
      </c>
      <c r="DT7" s="249">
        <v>2008</v>
      </c>
      <c r="DU7" s="249">
        <v>2009</v>
      </c>
      <c r="DV7" s="249">
        <v>2010</v>
      </c>
      <c r="DW7" s="249">
        <v>2011</v>
      </c>
      <c r="DX7" s="249">
        <v>2008</v>
      </c>
      <c r="DY7" s="249">
        <v>2009</v>
      </c>
      <c r="DZ7" s="249">
        <v>2010</v>
      </c>
      <c r="EA7" s="249">
        <v>2011</v>
      </c>
      <c r="EB7" s="249">
        <v>2008</v>
      </c>
      <c r="EC7" s="249">
        <v>2009</v>
      </c>
      <c r="ED7" s="249">
        <v>2010</v>
      </c>
      <c r="EE7" s="249">
        <v>2011</v>
      </c>
      <c r="EF7" s="249">
        <v>2008</v>
      </c>
      <c r="EG7" s="249">
        <v>2009</v>
      </c>
      <c r="EH7" s="249">
        <v>2010</v>
      </c>
      <c r="EI7" s="249">
        <v>2011</v>
      </c>
      <c r="EJ7" s="249">
        <v>2008</v>
      </c>
      <c r="EK7" s="249">
        <v>2009</v>
      </c>
      <c r="EL7" s="249">
        <v>2010</v>
      </c>
      <c r="EM7" s="249">
        <v>2011</v>
      </c>
      <c r="EN7" s="249">
        <v>2008</v>
      </c>
      <c r="EO7" s="249">
        <v>2009</v>
      </c>
      <c r="EP7" s="249">
        <v>2010</v>
      </c>
      <c r="EQ7" s="249">
        <v>2011</v>
      </c>
      <c r="ER7" s="249">
        <v>2008</v>
      </c>
      <c r="ES7" s="249">
        <v>2009</v>
      </c>
      <c r="ET7" s="249">
        <v>2010</v>
      </c>
      <c r="EU7" s="249">
        <v>2011</v>
      </c>
      <c r="EV7" s="249">
        <v>2008</v>
      </c>
      <c r="EW7" s="249">
        <v>2009</v>
      </c>
      <c r="EX7" s="249">
        <v>2010</v>
      </c>
      <c r="EY7" s="249">
        <v>2011</v>
      </c>
      <c r="EZ7" s="249">
        <v>2008</v>
      </c>
      <c r="FA7" s="249">
        <v>2009</v>
      </c>
      <c r="FB7" s="249">
        <v>2010</v>
      </c>
      <c r="FC7" s="249">
        <v>2011</v>
      </c>
      <c r="FD7" s="249">
        <v>2008</v>
      </c>
      <c r="FE7" s="249">
        <v>2009</v>
      </c>
      <c r="FF7" s="249">
        <v>2010</v>
      </c>
      <c r="FG7" s="249">
        <v>2011</v>
      </c>
      <c r="FH7" s="249">
        <v>2008</v>
      </c>
      <c r="FI7" s="249">
        <v>2009</v>
      </c>
      <c r="FJ7" s="249">
        <v>2010</v>
      </c>
      <c r="FK7" s="249">
        <v>2011</v>
      </c>
      <c r="FL7" s="250">
        <v>2008</v>
      </c>
      <c r="FM7" s="249">
        <v>2009</v>
      </c>
      <c r="FN7" s="249">
        <v>2010</v>
      </c>
      <c r="FO7" s="249">
        <v>2011</v>
      </c>
    </row>
    <row r="8" spans="1:176" ht="12.75">
      <c r="A8" s="56" t="s">
        <v>11</v>
      </c>
      <c r="B8" s="35"/>
      <c r="C8" s="180"/>
      <c r="D8" s="188"/>
      <c r="E8" s="188"/>
      <c r="F8" s="35"/>
      <c r="G8" s="105"/>
      <c r="H8" s="73"/>
      <c r="I8" s="73"/>
      <c r="J8" s="35"/>
      <c r="K8" s="105"/>
      <c r="L8" s="73"/>
      <c r="M8" s="73"/>
      <c r="N8" s="73"/>
      <c r="O8" s="73"/>
      <c r="P8" s="73"/>
      <c r="Q8" s="73"/>
      <c r="R8" s="35"/>
      <c r="S8" s="105"/>
      <c r="T8" s="73"/>
      <c r="U8" s="73"/>
      <c r="V8" s="35"/>
      <c r="W8" s="35"/>
      <c r="X8" s="35"/>
      <c r="Y8" s="35"/>
      <c r="Z8" s="35"/>
      <c r="AA8" s="105"/>
      <c r="AB8" s="73"/>
      <c r="AC8" s="73"/>
      <c r="AD8" s="73"/>
      <c r="AE8" s="73"/>
      <c r="AF8" s="73"/>
      <c r="AG8" s="35"/>
      <c r="AH8" s="121"/>
      <c r="AI8" s="79"/>
      <c r="AJ8" s="79"/>
      <c r="AK8" s="73"/>
      <c r="AL8" s="73"/>
      <c r="AM8" s="73"/>
      <c r="AN8" s="73"/>
      <c r="AO8" s="73"/>
      <c r="AP8" s="73"/>
      <c r="AQ8" s="73"/>
      <c r="AR8" s="73"/>
      <c r="AS8" s="35"/>
      <c r="AT8" s="105"/>
      <c r="AU8" s="182"/>
      <c r="AV8" s="73"/>
      <c r="AW8" s="35"/>
      <c r="AX8" s="105"/>
      <c r="AY8" s="73"/>
      <c r="AZ8" s="73"/>
      <c r="BA8" s="35"/>
      <c r="BB8" s="105"/>
      <c r="BC8" s="73"/>
      <c r="BD8" s="73"/>
      <c r="BE8" s="35"/>
      <c r="BF8" s="35"/>
      <c r="BG8" s="73"/>
      <c r="BH8" s="73"/>
      <c r="BI8" s="35"/>
      <c r="BJ8" s="35"/>
      <c r="BK8" s="73"/>
      <c r="BL8" s="73"/>
      <c r="BM8" s="35"/>
      <c r="BN8" s="35"/>
      <c r="BO8" s="73"/>
      <c r="BP8" s="73"/>
      <c r="BQ8" s="73"/>
      <c r="BR8" s="73"/>
      <c r="BS8" s="73"/>
      <c r="BT8" s="73"/>
      <c r="BU8" s="35"/>
      <c r="BV8" s="105"/>
      <c r="BW8" s="73"/>
      <c r="BX8" s="73"/>
      <c r="BY8" s="105"/>
      <c r="BZ8" s="105"/>
      <c r="CA8" s="73"/>
      <c r="CB8" s="73"/>
      <c r="CC8" s="105"/>
      <c r="CD8" s="105"/>
      <c r="CE8" s="73"/>
      <c r="CF8" s="73"/>
      <c r="CG8" s="35"/>
      <c r="CH8" s="105"/>
      <c r="CI8" s="73"/>
      <c r="CJ8" s="73"/>
      <c r="CK8" s="35"/>
      <c r="CL8" s="105"/>
      <c r="CM8" s="126"/>
      <c r="CN8" s="126"/>
      <c r="CO8" s="35"/>
      <c r="CP8" s="105"/>
      <c r="CQ8" s="73"/>
      <c r="CR8" s="105"/>
      <c r="CS8" s="105"/>
      <c r="CT8" s="73"/>
      <c r="CU8" s="73"/>
      <c r="CV8" s="35"/>
      <c r="CW8" s="105"/>
      <c r="CX8" s="73"/>
      <c r="CY8" s="73"/>
      <c r="CZ8" s="35"/>
      <c r="DA8" s="35"/>
      <c r="DB8" s="73"/>
      <c r="DC8" s="73"/>
      <c r="DD8" s="35"/>
      <c r="DE8" s="105"/>
      <c r="DF8" s="73"/>
      <c r="DG8" s="73"/>
      <c r="DH8" s="105"/>
      <c r="DI8" s="105"/>
      <c r="DJ8" s="73"/>
      <c r="DK8" s="73"/>
      <c r="DL8" s="35"/>
      <c r="DM8" s="105"/>
      <c r="DN8" s="73"/>
      <c r="DO8" s="73"/>
      <c r="DP8" s="105"/>
      <c r="DQ8" s="105"/>
      <c r="DR8" s="73"/>
      <c r="DS8" s="73"/>
      <c r="DT8" s="35"/>
      <c r="DU8" s="105"/>
      <c r="DV8" s="73"/>
      <c r="DW8" s="73"/>
      <c r="DX8" s="35"/>
      <c r="DY8" s="105"/>
      <c r="DZ8" s="73"/>
      <c r="EA8" s="73"/>
      <c r="EB8" s="35"/>
      <c r="EC8" s="181"/>
      <c r="ED8" s="73"/>
      <c r="EE8" s="73"/>
      <c r="EF8" s="35"/>
      <c r="EG8" s="105"/>
      <c r="EH8" s="73"/>
      <c r="EI8" s="73"/>
      <c r="EJ8" s="35"/>
      <c r="EK8" s="105"/>
      <c r="EL8" s="73"/>
      <c r="EM8" s="73"/>
      <c r="EN8" s="35"/>
      <c r="EO8" s="105"/>
      <c r="EP8" s="73"/>
      <c r="EQ8" s="73"/>
      <c r="ER8" s="105"/>
      <c r="ES8" s="105"/>
      <c r="ET8" s="73"/>
      <c r="EU8" s="73"/>
      <c r="EV8" s="180"/>
      <c r="EW8" s="105"/>
      <c r="EX8" s="73"/>
      <c r="EY8" s="73"/>
      <c r="EZ8" s="35"/>
      <c r="FA8" s="105"/>
      <c r="FB8" s="73"/>
      <c r="FC8" s="73"/>
      <c r="FD8" s="35"/>
      <c r="FE8" s="105"/>
      <c r="FF8" s="73"/>
      <c r="FG8" s="73"/>
      <c r="FH8" s="35"/>
      <c r="FI8" s="105"/>
      <c r="FJ8" s="73"/>
      <c r="FK8" s="73"/>
      <c r="FL8" s="35"/>
      <c r="FM8" s="105"/>
      <c r="FN8" s="73"/>
      <c r="FO8" s="73"/>
      <c r="FT8" s="168"/>
    </row>
    <row r="9" spans="1:176" ht="12.75">
      <c r="A9" s="53" t="s">
        <v>12</v>
      </c>
      <c r="B9" s="35"/>
      <c r="C9" s="35"/>
      <c r="D9" s="188"/>
      <c r="E9" s="188"/>
      <c r="F9" s="35"/>
      <c r="G9" s="105"/>
      <c r="H9" s="73"/>
      <c r="I9" s="73"/>
      <c r="J9" s="35"/>
      <c r="K9" s="105"/>
      <c r="L9" s="73"/>
      <c r="M9" s="73"/>
      <c r="N9" s="73"/>
      <c r="O9" s="73"/>
      <c r="P9" s="73"/>
      <c r="Q9" s="73"/>
      <c r="R9" s="35"/>
      <c r="S9" s="105"/>
      <c r="T9" s="73"/>
      <c r="U9" s="73"/>
      <c r="V9" s="35"/>
      <c r="W9" s="35"/>
      <c r="X9" s="35"/>
      <c r="Y9" s="35"/>
      <c r="Z9" s="35"/>
      <c r="AA9" s="105"/>
      <c r="AB9" s="73"/>
      <c r="AC9" s="73"/>
      <c r="AD9" s="73"/>
      <c r="AE9" s="73"/>
      <c r="AF9" s="73"/>
      <c r="AG9" s="35"/>
      <c r="AH9" s="121"/>
      <c r="AI9" s="79"/>
      <c r="AJ9" s="79"/>
      <c r="AK9" s="73"/>
      <c r="AL9" s="73"/>
      <c r="AM9" s="73"/>
      <c r="AN9" s="73"/>
      <c r="AO9" s="73"/>
      <c r="AP9" s="73"/>
      <c r="AQ9" s="73"/>
      <c r="AR9" s="73"/>
      <c r="AS9" s="35"/>
      <c r="AT9" s="105"/>
      <c r="AU9" s="182"/>
      <c r="AV9" s="73"/>
      <c r="AW9" s="35"/>
      <c r="AX9" s="105"/>
      <c r="AY9" s="73"/>
      <c r="AZ9" s="73"/>
      <c r="BA9" s="35"/>
      <c r="BB9" s="105"/>
      <c r="BC9" s="124" t="s">
        <v>102</v>
      </c>
      <c r="BD9" s="124" t="s">
        <v>102</v>
      </c>
      <c r="BE9" s="35"/>
      <c r="BF9" s="35"/>
      <c r="BG9" s="124"/>
      <c r="BH9" s="124"/>
      <c r="BI9" s="35"/>
      <c r="BJ9" s="35"/>
      <c r="BK9" s="73"/>
      <c r="BL9" s="73"/>
      <c r="BM9" s="35"/>
      <c r="BN9" s="35"/>
      <c r="BO9" s="73"/>
      <c r="BP9" s="73"/>
      <c r="BQ9" s="73"/>
      <c r="BR9" s="73"/>
      <c r="BS9" s="73"/>
      <c r="BT9" s="73"/>
      <c r="BU9" s="35"/>
      <c r="BV9" s="105"/>
      <c r="BW9" s="73"/>
      <c r="BX9" s="73"/>
      <c r="BY9" s="105"/>
      <c r="BZ9" s="105"/>
      <c r="CA9" s="73"/>
      <c r="CB9" s="73"/>
      <c r="CC9" s="105"/>
      <c r="CD9" s="105"/>
      <c r="CE9" s="73"/>
      <c r="CF9" s="73"/>
      <c r="CG9" s="35"/>
      <c r="CH9" s="105"/>
      <c r="CI9" s="73"/>
      <c r="CJ9" s="73"/>
      <c r="CK9" s="35"/>
      <c r="CL9" s="105"/>
      <c r="CM9" s="126"/>
      <c r="CN9" s="126"/>
      <c r="CO9" s="35"/>
      <c r="CP9" s="105"/>
      <c r="CQ9" s="73"/>
      <c r="CR9" s="105"/>
      <c r="CS9" s="105"/>
      <c r="CT9" s="73"/>
      <c r="CU9" s="73"/>
      <c r="CV9" s="35"/>
      <c r="CW9" s="105"/>
      <c r="CX9" s="73"/>
      <c r="CY9" s="73"/>
      <c r="CZ9" s="35"/>
      <c r="DA9" s="35"/>
      <c r="DB9" s="73"/>
      <c r="DC9" s="73"/>
      <c r="DD9" s="35"/>
      <c r="DE9" s="105"/>
      <c r="DF9" s="73"/>
      <c r="DG9" s="73"/>
      <c r="DH9" s="105"/>
      <c r="DI9" s="105"/>
      <c r="DJ9" s="73"/>
      <c r="DK9" s="73"/>
      <c r="DL9" s="35"/>
      <c r="DM9" s="105"/>
      <c r="DN9" s="73"/>
      <c r="DO9" s="73"/>
      <c r="DP9" s="105"/>
      <c r="DQ9" s="105"/>
      <c r="DR9" s="73"/>
      <c r="DS9" s="73"/>
      <c r="DT9" s="35"/>
      <c r="DU9" s="105"/>
      <c r="DV9" s="73"/>
      <c r="DW9" s="73"/>
      <c r="DX9" s="35"/>
      <c r="DY9" s="105"/>
      <c r="DZ9" s="73"/>
      <c r="EA9" s="73"/>
      <c r="EB9" s="35"/>
      <c r="EC9" s="181"/>
      <c r="ED9" s="73"/>
      <c r="EE9" s="73"/>
      <c r="EF9" s="35"/>
      <c r="EG9" s="105"/>
      <c r="EH9" s="73"/>
      <c r="EI9" s="73"/>
      <c r="EJ9" s="35"/>
      <c r="EK9" s="105"/>
      <c r="EL9" s="73"/>
      <c r="EM9" s="73"/>
      <c r="EN9" s="35"/>
      <c r="EO9" s="105"/>
      <c r="EP9" s="73"/>
      <c r="EQ9" s="73"/>
      <c r="ER9" s="105"/>
      <c r="ES9" s="105"/>
      <c r="ET9" s="73"/>
      <c r="EU9" s="73"/>
      <c r="EV9" s="35"/>
      <c r="EW9" s="105"/>
      <c r="EX9" s="73"/>
      <c r="EY9" s="73"/>
      <c r="EZ9" s="35"/>
      <c r="FA9" s="105"/>
      <c r="FB9" s="73"/>
      <c r="FC9" s="73"/>
      <c r="FD9" s="35"/>
      <c r="FE9" s="105"/>
      <c r="FF9" s="73"/>
      <c r="FG9" s="73"/>
      <c r="FH9" s="35"/>
      <c r="FI9" s="105"/>
      <c r="FJ9" s="73"/>
      <c r="FK9" s="73"/>
      <c r="FL9" s="35"/>
      <c r="FM9" s="105"/>
      <c r="FN9" s="73"/>
      <c r="FO9" s="73"/>
      <c r="FT9" s="168"/>
    </row>
    <row r="10" spans="1:176" ht="12.75">
      <c r="A10" s="52" t="s">
        <v>13</v>
      </c>
      <c r="B10" s="50">
        <f aca="true" t="shared" si="0" ref="B10:D12">F10+J10+N10+R10+V10+Z10+AC10+AG10+AK10+AO10+AW10+BA10+BE10+BI10+BM10+BQ10+BU10+BY10+CC10+CG10+CK10+CO10+CR10+CV10+CZ10+DD10+DH10+DL10+DP10+DT10+DX10+EB10+EF10+EJ10+EN10+ER10+EV10+EZ10+FD10</f>
        <v>20532374.71786</v>
      </c>
      <c r="C10" s="50">
        <f t="shared" si="0"/>
        <v>33004292.422</v>
      </c>
      <c r="D10" s="161">
        <f t="shared" si="0"/>
        <v>33106173.740000006</v>
      </c>
      <c r="E10" s="161">
        <f>J10+N10+R10+V10+Z10+AC10+AG10+AK10+AO10+AW10+BA10+BE10+BI10+BM10+BQ10+BU10+BY10+CC10+CG10+CK10+CO10+CR10+CV10+CZ10+DD10+DH10+DL10+DP10+DT10+DX10+EB10+EF10+EJ10+EN10+ER10+EV10+EZ10+FD10+FH10</f>
        <v>20455187.86586</v>
      </c>
      <c r="F10" s="50">
        <v>688968.779</v>
      </c>
      <c r="G10" s="106">
        <v>1270545.334</v>
      </c>
      <c r="H10" s="77">
        <v>1162512.209</v>
      </c>
      <c r="I10" s="77">
        <v>1342839</v>
      </c>
      <c r="J10" s="50">
        <v>0</v>
      </c>
      <c r="K10" s="106">
        <v>823728.224</v>
      </c>
      <c r="L10" s="110">
        <v>908959.778</v>
      </c>
      <c r="M10" s="110"/>
      <c r="N10" s="50">
        <v>0</v>
      </c>
      <c r="O10" s="77">
        <v>139553.154</v>
      </c>
      <c r="P10" s="110">
        <v>108563.836</v>
      </c>
      <c r="Q10" s="110">
        <v>99803</v>
      </c>
      <c r="R10" s="50">
        <v>221908</v>
      </c>
      <c r="S10" s="114">
        <v>212094</v>
      </c>
      <c r="T10" s="77">
        <v>506693</v>
      </c>
      <c r="U10" s="77">
        <v>928325</v>
      </c>
      <c r="V10" s="50">
        <v>0</v>
      </c>
      <c r="W10" s="50">
        <v>2246663.185</v>
      </c>
      <c r="X10" s="77">
        <v>2108537.414</v>
      </c>
      <c r="Y10" s="77">
        <v>2605779</v>
      </c>
      <c r="Z10" s="50">
        <f>6353.50266+24705.58744+108688</f>
        <v>139747.0901</v>
      </c>
      <c r="AA10" s="114">
        <v>0</v>
      </c>
      <c r="AB10" s="77">
        <v>596200</v>
      </c>
      <c r="AC10" s="114">
        <v>0</v>
      </c>
      <c r="AD10" s="114">
        <v>0</v>
      </c>
      <c r="AE10" s="134">
        <v>0</v>
      </c>
      <c r="AF10" s="77">
        <v>1831529</v>
      </c>
      <c r="AG10" s="50">
        <f>12748.00883+1277+852610.34531+10000</f>
        <v>876635.35414</v>
      </c>
      <c r="AH10" s="108">
        <f>7604.216+1277+1115358.343+10000</f>
        <v>1134239.5590000001</v>
      </c>
      <c r="AI10" s="77">
        <f>1775.911+1277+1001913.02+10000</f>
        <v>1014965.931</v>
      </c>
      <c r="AJ10" s="77">
        <f>763570-AJ11</f>
        <v>639047</v>
      </c>
      <c r="AK10" s="114">
        <v>0</v>
      </c>
      <c r="AL10" s="114">
        <v>0</v>
      </c>
      <c r="AM10" s="134">
        <v>0</v>
      </c>
      <c r="AN10" s="134">
        <v>0</v>
      </c>
      <c r="AO10" s="114">
        <v>0</v>
      </c>
      <c r="AP10" s="114">
        <v>0</v>
      </c>
      <c r="AQ10" s="134">
        <v>258698</v>
      </c>
      <c r="AR10" s="134">
        <v>297933</v>
      </c>
      <c r="AS10" s="50">
        <f>97973+299400</f>
        <v>397373</v>
      </c>
      <c r="AT10" s="130">
        <f>151271+299400</f>
        <v>450671</v>
      </c>
      <c r="AU10" s="183">
        <v>4403</v>
      </c>
      <c r="AV10" s="134">
        <v>2305276</v>
      </c>
      <c r="AW10" s="50">
        <v>0</v>
      </c>
      <c r="AX10" s="114">
        <v>129855</v>
      </c>
      <c r="AY10" s="77">
        <v>186600</v>
      </c>
      <c r="AZ10" s="77">
        <v>250387</v>
      </c>
      <c r="BA10" s="50">
        <v>14468114</v>
      </c>
      <c r="BB10" s="114">
        <v>14775681</v>
      </c>
      <c r="BC10" s="77">
        <v>14088518</v>
      </c>
      <c r="BD10" s="77">
        <v>15024180</v>
      </c>
      <c r="BE10" s="50">
        <v>0</v>
      </c>
      <c r="BF10" s="114">
        <f>469167.751+245550.664</f>
        <v>714718.415</v>
      </c>
      <c r="BG10" s="77">
        <f>31983.504+180387.154</f>
        <v>212370.658</v>
      </c>
      <c r="BH10" s="77">
        <f>14707+320923+4086</f>
        <v>339716</v>
      </c>
      <c r="BI10" s="50">
        <v>0</v>
      </c>
      <c r="BJ10" s="114">
        <v>0</v>
      </c>
      <c r="BK10" s="77">
        <v>246311.467</v>
      </c>
      <c r="BL10" s="77">
        <v>275186</v>
      </c>
      <c r="BM10" s="50">
        <v>3615</v>
      </c>
      <c r="BN10" s="114">
        <v>4687837</v>
      </c>
      <c r="BO10" s="77">
        <v>4185429</v>
      </c>
      <c r="BP10" s="77">
        <v>4411783</v>
      </c>
      <c r="BQ10" s="114">
        <v>0</v>
      </c>
      <c r="BR10" s="114">
        <v>0</v>
      </c>
      <c r="BS10" s="134">
        <v>126865</v>
      </c>
      <c r="BT10" s="134">
        <v>218904</v>
      </c>
      <c r="BU10" s="50">
        <v>51541.28706</v>
      </c>
      <c r="BV10" s="114">
        <v>144954.667</v>
      </c>
      <c r="BW10" s="77">
        <v>183801.312</v>
      </c>
      <c r="BX10" s="77">
        <v>195068</v>
      </c>
      <c r="BY10" s="125">
        <f>100.012+651+187069.609</f>
        <v>187820.62099999998</v>
      </c>
      <c r="BZ10" s="125">
        <f>520.475+434+196365.395</f>
        <v>197319.87</v>
      </c>
      <c r="CA10" s="77">
        <f>483+176694</f>
        <v>177177</v>
      </c>
      <c r="CB10" s="77">
        <f>243568+972</f>
        <v>244540</v>
      </c>
      <c r="CC10" s="125">
        <v>0</v>
      </c>
      <c r="CD10" s="125">
        <v>0</v>
      </c>
      <c r="CE10" s="77">
        <v>241427</v>
      </c>
      <c r="CF10" s="77"/>
      <c r="CG10" s="50">
        <v>1094248.153</v>
      </c>
      <c r="CH10" s="114">
        <v>901901.627</v>
      </c>
      <c r="CI10" s="77">
        <v>797003.155</v>
      </c>
      <c r="CJ10" s="77">
        <v>915158</v>
      </c>
      <c r="CK10" s="50">
        <v>0</v>
      </c>
      <c r="CL10" s="125">
        <v>103463.987</v>
      </c>
      <c r="CM10" s="127">
        <v>51752.53</v>
      </c>
      <c r="CN10" s="127">
        <v>9417</v>
      </c>
      <c r="CO10" s="50">
        <v>0</v>
      </c>
      <c r="CP10" s="125">
        <f>24664.679+362259.681</f>
        <v>386924.36</v>
      </c>
      <c r="CQ10" s="77">
        <v>0</v>
      </c>
      <c r="CR10" s="125">
        <v>0</v>
      </c>
      <c r="CS10" s="125">
        <v>0</v>
      </c>
      <c r="CT10" s="77">
        <v>0</v>
      </c>
      <c r="CU10" s="77">
        <f>24752+326233</f>
        <v>350985</v>
      </c>
      <c r="CV10" s="50">
        <f>324646.593+210890.272</f>
        <v>535536.865</v>
      </c>
      <c r="CW10" s="125">
        <f>89913.467+400424.874</f>
        <v>490338.341</v>
      </c>
      <c r="CX10" s="77">
        <f>159708.325+153237.742</f>
        <v>312946.06700000004</v>
      </c>
      <c r="CY10" s="77">
        <v>288564</v>
      </c>
      <c r="CZ10" s="50">
        <v>0</v>
      </c>
      <c r="DA10" s="125">
        <v>618830</v>
      </c>
      <c r="DB10" s="77">
        <v>715251</v>
      </c>
      <c r="DC10" s="77">
        <f>968267+14982</f>
        <v>983249</v>
      </c>
      <c r="DD10" s="50">
        <f>46244.90046+174007.01+509844.33132</f>
        <v>730096.24178</v>
      </c>
      <c r="DE10" s="114">
        <f>29271.492+174202.096+587457.002</f>
        <v>790930.59</v>
      </c>
      <c r="DF10" s="77">
        <f>219135.392+177061.409+620107.608</f>
        <v>1016304.409</v>
      </c>
      <c r="DG10" s="77">
        <f>1295227-DG11-DG12</f>
        <v>903518</v>
      </c>
      <c r="DH10" s="125">
        <v>0</v>
      </c>
      <c r="DI10" s="125">
        <v>0</v>
      </c>
      <c r="DJ10" s="77">
        <v>0</v>
      </c>
      <c r="DK10" s="77">
        <v>0</v>
      </c>
      <c r="DL10" s="50">
        <v>141886.60085</v>
      </c>
      <c r="DM10" s="125">
        <v>0</v>
      </c>
      <c r="DN10" s="77">
        <v>0</v>
      </c>
      <c r="DO10" s="77">
        <v>0</v>
      </c>
      <c r="DP10" s="50">
        <v>0</v>
      </c>
      <c r="DQ10" s="125">
        <f>1060+36050</f>
        <v>37110</v>
      </c>
      <c r="DR10" s="77">
        <f>2027.984+37170</f>
        <v>39197.984</v>
      </c>
      <c r="DS10" s="77">
        <f>2278+35646</f>
        <v>37924</v>
      </c>
      <c r="DT10" s="50">
        <v>0</v>
      </c>
      <c r="DU10" s="125">
        <v>170426.05</v>
      </c>
      <c r="DV10" s="77">
        <v>213640.37</v>
      </c>
      <c r="DW10" s="77"/>
      <c r="DX10" s="50">
        <v>0</v>
      </c>
      <c r="DY10" s="125">
        <v>231065.409</v>
      </c>
      <c r="DZ10" s="77">
        <v>207722.088</v>
      </c>
      <c r="EA10" s="77">
        <v>136153</v>
      </c>
      <c r="EB10" s="50">
        <v>0</v>
      </c>
      <c r="EC10" s="130">
        <f>22089.775+503502.81+133458.862</f>
        <v>659051.4469999999</v>
      </c>
      <c r="ED10" s="77">
        <f>137279.67+697245.488+118821.238</f>
        <v>953346.3960000001</v>
      </c>
      <c r="EE10" s="77">
        <v>684169</v>
      </c>
      <c r="EF10" s="50">
        <v>705914.413</v>
      </c>
      <c r="EG10" s="125">
        <v>911060.395</v>
      </c>
      <c r="EH10" s="77">
        <v>1246438.708</v>
      </c>
      <c r="EI10" s="77">
        <v>1302746</v>
      </c>
      <c r="EJ10" s="50">
        <v>97962.826</v>
      </c>
      <c r="EK10" s="125">
        <v>182638.962</v>
      </c>
      <c r="EL10" s="77">
        <v>73696.395</v>
      </c>
      <c r="EM10" s="77">
        <f>81686+71624</f>
        <v>153310</v>
      </c>
      <c r="EN10" s="50">
        <f>55812.40793+1060.494+141620.387</f>
        <v>198493.28892999998</v>
      </c>
      <c r="EO10" s="125">
        <f>28875.758+1060.494+141620.387</f>
        <v>171556.639</v>
      </c>
      <c r="EP10" s="77">
        <f>28875.759+1060.494+140146.533</f>
        <v>170082.786</v>
      </c>
      <c r="EQ10" s="77"/>
      <c r="ER10" s="131">
        <v>0</v>
      </c>
      <c r="ES10" s="131">
        <v>0</v>
      </c>
      <c r="ET10" s="77">
        <f>4030.045+164093.527</f>
        <v>168123.57200000001</v>
      </c>
      <c r="EU10" s="77">
        <v>232471</v>
      </c>
      <c r="EV10" s="50">
        <v>357788.198</v>
      </c>
      <c r="EW10" s="131">
        <f>57495.629+308469.187+37838.741+1334</f>
        <v>405137.557</v>
      </c>
      <c r="EX10" s="77">
        <v>496756</v>
      </c>
      <c r="EY10" s="77">
        <v>768092</v>
      </c>
      <c r="EZ10" s="50">
        <v>0</v>
      </c>
      <c r="FA10" s="131">
        <v>466667.65</v>
      </c>
      <c r="FB10" s="77">
        <v>315435.675</v>
      </c>
      <c r="FC10" s="77"/>
      <c r="FD10" s="50">
        <v>32098</v>
      </c>
      <c r="FE10" s="131">
        <v>0</v>
      </c>
      <c r="FF10" s="77">
        <v>14847</v>
      </c>
      <c r="FG10" s="77"/>
      <c r="FH10" s="60">
        <v>611781.927</v>
      </c>
      <c r="FI10" s="179">
        <v>0</v>
      </c>
      <c r="FJ10" s="77">
        <v>0</v>
      </c>
      <c r="FK10" s="77">
        <v>1595341</v>
      </c>
      <c r="FL10" s="50"/>
      <c r="FM10" s="179">
        <v>0</v>
      </c>
      <c r="FN10" s="77">
        <v>0</v>
      </c>
      <c r="FO10" s="77">
        <v>19516</v>
      </c>
      <c r="FT10" s="168"/>
    </row>
    <row r="11" spans="1:174" ht="12.75">
      <c r="A11" s="52" t="s">
        <v>14</v>
      </c>
      <c r="B11" s="50">
        <f t="shared" si="0"/>
        <v>10802497.72243</v>
      </c>
      <c r="C11" s="50">
        <f t="shared" si="0"/>
        <v>27482283.897</v>
      </c>
      <c r="D11" s="161">
        <f t="shared" si="0"/>
        <v>44071622.638</v>
      </c>
      <c r="E11" s="161">
        <f>J11+N11+R11+V11+Z11+AC11+AG11+AK11+AO11+AW11+BA11+BE11+BI11+BM11+BQ11+BU11+BY11+CC11+CG11+CK11+CO11+CR11+CV11+CZ11+DD11+DH11+DL11+DP11+DT11+DX11+EB11+EF11+EJ11+EN11+ER11+EV11+EZ11+FD11+FH11</f>
        <v>11432107.301429998</v>
      </c>
      <c r="F11" s="50">
        <v>914905.678</v>
      </c>
      <c r="G11" s="106">
        <v>972412.136</v>
      </c>
      <c r="H11" s="77">
        <v>6205836.207</v>
      </c>
      <c r="I11" s="77">
        <v>1294261</v>
      </c>
      <c r="J11" s="50">
        <v>0</v>
      </c>
      <c r="K11" s="106">
        <v>1138745</v>
      </c>
      <c r="L11" s="110">
        <v>866612.053</v>
      </c>
      <c r="M11" s="110"/>
      <c r="N11" s="50">
        <v>0</v>
      </c>
      <c r="O11" s="77">
        <v>101621.348</v>
      </c>
      <c r="P11" s="110">
        <v>96704.893</v>
      </c>
      <c r="Q11" s="110">
        <v>87465</v>
      </c>
      <c r="R11" s="50">
        <v>58106</v>
      </c>
      <c r="S11" s="114">
        <f>58106-5811</f>
        <v>52295</v>
      </c>
      <c r="T11" s="77">
        <v>0</v>
      </c>
      <c r="U11" s="77">
        <v>0</v>
      </c>
      <c r="V11" s="50">
        <v>0</v>
      </c>
      <c r="W11" s="50">
        <v>542621.835</v>
      </c>
      <c r="X11" s="77">
        <v>683994.831</v>
      </c>
      <c r="Y11" s="77">
        <v>772773</v>
      </c>
      <c r="Z11" s="50">
        <f>960040+29557+16555.999+45616+80000</f>
        <v>1131768.9989999998</v>
      </c>
      <c r="AA11" s="114">
        <v>0</v>
      </c>
      <c r="AB11" s="77">
        <v>1454287</v>
      </c>
      <c r="AC11" s="114">
        <v>0</v>
      </c>
      <c r="AD11" s="114">
        <v>0</v>
      </c>
      <c r="AE11" s="134">
        <v>0</v>
      </c>
      <c r="AF11" s="77">
        <v>2219030</v>
      </c>
      <c r="AG11" s="50">
        <v>124523.32486</v>
      </c>
      <c r="AH11" s="108">
        <v>124523.324</v>
      </c>
      <c r="AI11" s="77">
        <v>124523.324</v>
      </c>
      <c r="AJ11" s="77">
        <v>124523</v>
      </c>
      <c r="AK11" s="114">
        <v>0</v>
      </c>
      <c r="AL11" s="114">
        <v>0</v>
      </c>
      <c r="AM11" s="134">
        <v>0</v>
      </c>
      <c r="AN11" s="134">
        <v>0</v>
      </c>
      <c r="AO11" s="114">
        <v>0</v>
      </c>
      <c r="AP11" s="114">
        <v>0</v>
      </c>
      <c r="AQ11" s="134">
        <v>233197</v>
      </c>
      <c r="AR11" s="134">
        <v>220326</v>
      </c>
      <c r="AS11" s="50">
        <v>1119322</v>
      </c>
      <c r="AT11" s="130">
        <v>1039322</v>
      </c>
      <c r="AU11" s="183">
        <v>996685</v>
      </c>
      <c r="AV11" s="134">
        <v>1027693</v>
      </c>
      <c r="AW11" s="50">
        <v>0</v>
      </c>
      <c r="AX11" s="114">
        <v>0</v>
      </c>
      <c r="AY11" s="77">
        <v>0</v>
      </c>
      <c r="AZ11" s="77">
        <v>0</v>
      </c>
      <c r="BA11" s="50">
        <v>785132</v>
      </c>
      <c r="BB11" s="114">
        <v>14791064</v>
      </c>
      <c r="BC11" s="77">
        <v>15957428</v>
      </c>
      <c r="BD11" s="77">
        <v>1149772</v>
      </c>
      <c r="BE11" s="50">
        <v>0</v>
      </c>
      <c r="BF11" s="114">
        <f>163833.229</f>
        <v>163833.229</v>
      </c>
      <c r="BG11" s="77">
        <v>414801.649</v>
      </c>
      <c r="BH11" s="77">
        <v>234266</v>
      </c>
      <c r="BI11" s="50">
        <v>0</v>
      </c>
      <c r="BJ11" s="114">
        <v>0</v>
      </c>
      <c r="BK11" s="77">
        <v>117886.897</v>
      </c>
      <c r="BL11" s="77">
        <v>152262</v>
      </c>
      <c r="BM11" s="50">
        <v>6165246</v>
      </c>
      <c r="BN11" s="114">
        <v>6471723</v>
      </c>
      <c r="BO11" s="77">
        <v>13775904</v>
      </c>
      <c r="BP11" s="77">
        <v>6111704</v>
      </c>
      <c r="BQ11" s="114">
        <v>0</v>
      </c>
      <c r="BR11" s="114">
        <v>0</v>
      </c>
      <c r="BS11" s="134">
        <v>308274</v>
      </c>
      <c r="BT11" s="134">
        <v>281434</v>
      </c>
      <c r="BU11" s="50">
        <v>214284.62796</v>
      </c>
      <c r="BV11" s="114">
        <v>591228.956</v>
      </c>
      <c r="BW11" s="77">
        <v>571395.396</v>
      </c>
      <c r="BX11" s="77">
        <v>598824</v>
      </c>
      <c r="BY11" s="125">
        <v>45366.214</v>
      </c>
      <c r="BZ11" s="125">
        <v>44454.27</v>
      </c>
      <c r="CA11" s="77">
        <v>42824</v>
      </c>
      <c r="CB11" s="77">
        <v>41758</v>
      </c>
      <c r="CC11" s="125">
        <v>0</v>
      </c>
      <c r="CD11" s="125">
        <v>0</v>
      </c>
      <c r="CE11" s="77">
        <v>299466</v>
      </c>
      <c r="CF11" s="77"/>
      <c r="CG11" s="50">
        <f>183720.466+84196.641</f>
        <v>267917.10699999996</v>
      </c>
      <c r="CH11" s="114">
        <f>170735.79+98858.673</f>
        <v>269594.463</v>
      </c>
      <c r="CI11" s="77">
        <f>162450.632+112502.357</f>
        <v>274952.989</v>
      </c>
      <c r="CJ11" s="77">
        <v>171035</v>
      </c>
      <c r="CK11" s="50">
        <v>0</v>
      </c>
      <c r="CL11" s="125">
        <v>110952.526</v>
      </c>
      <c r="CM11" s="127">
        <v>183713.967</v>
      </c>
      <c r="CN11" s="127">
        <v>205988</v>
      </c>
      <c r="CO11" s="50">
        <v>0</v>
      </c>
      <c r="CP11" s="125">
        <v>30546.371</v>
      </c>
      <c r="CQ11" s="77">
        <v>0</v>
      </c>
      <c r="CR11" s="125">
        <v>0</v>
      </c>
      <c r="CS11" s="125">
        <v>0</v>
      </c>
      <c r="CT11" s="77">
        <v>0</v>
      </c>
      <c r="CU11" s="77">
        <v>22296</v>
      </c>
      <c r="CV11" s="50">
        <v>38688</v>
      </c>
      <c r="CW11" s="125">
        <v>38688</v>
      </c>
      <c r="CX11" s="77">
        <v>37361</v>
      </c>
      <c r="CY11" s="77">
        <v>33454</v>
      </c>
      <c r="CZ11" s="50">
        <v>0</v>
      </c>
      <c r="DA11" s="125">
        <v>539118.009</v>
      </c>
      <c r="DB11" s="77">
        <v>505818.504</v>
      </c>
      <c r="DC11" s="77">
        <v>505818</v>
      </c>
      <c r="DD11" s="50">
        <v>315140.23901</v>
      </c>
      <c r="DE11" s="114">
        <v>281128.039</v>
      </c>
      <c r="DF11" s="77">
        <v>337083.039</v>
      </c>
      <c r="DG11" s="77">
        <v>344268</v>
      </c>
      <c r="DH11" s="125">
        <v>0</v>
      </c>
      <c r="DI11" s="125">
        <v>0</v>
      </c>
      <c r="DJ11" s="77">
        <v>0</v>
      </c>
      <c r="DK11" s="77">
        <v>0</v>
      </c>
      <c r="DL11" s="50">
        <v>106071.3546</v>
      </c>
      <c r="DM11" s="125">
        <v>0</v>
      </c>
      <c r="DN11" s="77">
        <v>0</v>
      </c>
      <c r="DO11" s="77">
        <v>0</v>
      </c>
      <c r="DP11" s="50">
        <v>0</v>
      </c>
      <c r="DQ11" s="125">
        <v>86218</v>
      </c>
      <c r="DR11" s="77">
        <v>88508</v>
      </c>
      <c r="DS11" s="77">
        <v>85508</v>
      </c>
      <c r="DT11" s="50">
        <v>0</v>
      </c>
      <c r="DU11" s="125">
        <v>134638.12</v>
      </c>
      <c r="DV11" s="77">
        <v>155306.04</v>
      </c>
      <c r="DW11" s="77"/>
      <c r="DX11" s="50">
        <v>0</v>
      </c>
      <c r="DY11" s="125">
        <v>243671</v>
      </c>
      <c r="DZ11" s="77">
        <v>159230</v>
      </c>
      <c r="EA11" s="77"/>
      <c r="EB11" s="50">
        <v>0</v>
      </c>
      <c r="EC11" s="130">
        <v>421045.908</v>
      </c>
      <c r="ED11" s="77">
        <v>422742.604</v>
      </c>
      <c r="EE11" s="77">
        <v>776411</v>
      </c>
      <c r="EF11" s="50">
        <v>132311.811</v>
      </c>
      <c r="EG11" s="125">
        <v>118897.508</v>
      </c>
      <c r="EH11" s="77">
        <v>200642.416</v>
      </c>
      <c r="EI11" s="77">
        <v>186099</v>
      </c>
      <c r="EJ11" s="50">
        <v>201382.984</v>
      </c>
      <c r="EK11" s="125">
        <v>100590.678</v>
      </c>
      <c r="EL11" s="77">
        <v>216701.733</v>
      </c>
      <c r="EM11" s="77">
        <v>218569</v>
      </c>
      <c r="EN11" s="50">
        <v>23604.546</v>
      </c>
      <c r="EO11" s="125">
        <v>23604.546</v>
      </c>
      <c r="EP11" s="77">
        <v>23604.546</v>
      </c>
      <c r="EQ11" s="77"/>
      <c r="ER11" s="131">
        <v>0</v>
      </c>
      <c r="ES11" s="131">
        <v>0</v>
      </c>
      <c r="ET11" s="77">
        <f>107047.059</f>
        <v>107047.059</v>
      </c>
      <c r="EU11" s="77">
        <v>342279</v>
      </c>
      <c r="EV11" s="50">
        <v>149427.837</v>
      </c>
      <c r="EW11" s="131">
        <f>10482.638</f>
        <v>10482.638</v>
      </c>
      <c r="EX11" s="77">
        <v>21418</v>
      </c>
      <c r="EY11" s="77">
        <v>22204</v>
      </c>
      <c r="EZ11" s="50">
        <v>0</v>
      </c>
      <c r="FA11" s="131">
        <v>78585.993</v>
      </c>
      <c r="FB11" s="77">
        <v>78585.491</v>
      </c>
      <c r="FC11" s="77"/>
      <c r="FD11" s="50">
        <v>128621</v>
      </c>
      <c r="FE11" s="131">
        <v>0</v>
      </c>
      <c r="FF11" s="77">
        <v>105772</v>
      </c>
      <c r="FG11" s="77"/>
      <c r="FH11" s="60">
        <v>1544515.257</v>
      </c>
      <c r="FI11" s="179">
        <v>0</v>
      </c>
      <c r="FJ11" s="77">
        <v>0</v>
      </c>
      <c r="FK11" s="77">
        <v>1970514</v>
      </c>
      <c r="FL11" s="50"/>
      <c r="FM11" s="179">
        <v>0</v>
      </c>
      <c r="FN11" s="77">
        <v>0</v>
      </c>
      <c r="FO11" s="77">
        <v>402717</v>
      </c>
      <c r="FQ11" t="s">
        <v>144</v>
      </c>
      <c r="FR11">
        <v>38</v>
      </c>
    </row>
    <row r="12" spans="1:174" ht="12.75">
      <c r="A12" s="52" t="s">
        <v>15</v>
      </c>
      <c r="B12" s="50">
        <f t="shared" si="0"/>
        <v>10520485.365000002</v>
      </c>
      <c r="C12" s="50">
        <f t="shared" si="0"/>
        <v>-4088279.533</v>
      </c>
      <c r="D12" s="161">
        <f t="shared" si="0"/>
        <v>1572478.2539999997</v>
      </c>
      <c r="E12" s="161">
        <f>J12+N12+R12+V12+Z12+AC12+AG12+AK12+AO12+AW12+BA12+BE12+BI12+BM12+BQ12+BU12+BY12+CC12+CG12+CK12+CO12+CR12+CV12+CZ12+DD12+DH12+DL12+DP12+DT12+DX12+EB12+EF12+EJ12+EN12+ER12+EV12+EZ12+FD12+FH12</f>
        <v>8892854.799000002</v>
      </c>
      <c r="F12" s="50">
        <f>324898.201+1395153.432</f>
        <v>1720051.633</v>
      </c>
      <c r="G12" s="106">
        <f>1644864.607+85188.629</f>
        <v>1730053.236</v>
      </c>
      <c r="H12" s="77"/>
      <c r="I12" s="77">
        <f>88703+5166578</f>
        <v>5255281</v>
      </c>
      <c r="J12" s="50">
        <v>0</v>
      </c>
      <c r="K12" s="106">
        <v>0</v>
      </c>
      <c r="L12" s="110">
        <v>70669.424</v>
      </c>
      <c r="M12" s="110"/>
      <c r="N12" s="50">
        <v>0</v>
      </c>
      <c r="O12" s="77">
        <v>551.915</v>
      </c>
      <c r="P12" s="110">
        <v>1606.652</v>
      </c>
      <c r="Q12" s="110">
        <v>1415</v>
      </c>
      <c r="R12" s="50">
        <v>0</v>
      </c>
      <c r="S12" s="114">
        <v>0</v>
      </c>
      <c r="T12" s="77">
        <v>0</v>
      </c>
      <c r="U12" s="77">
        <v>0</v>
      </c>
      <c r="V12" s="50">
        <v>0</v>
      </c>
      <c r="W12" s="50">
        <v>14605.798</v>
      </c>
      <c r="X12" s="77">
        <v>107341.454</v>
      </c>
      <c r="Y12" s="77">
        <v>108319</v>
      </c>
      <c r="Z12" s="50">
        <f>290800</f>
        <v>290800</v>
      </c>
      <c r="AA12" s="114">
        <v>0</v>
      </c>
      <c r="AB12" s="77">
        <v>0</v>
      </c>
      <c r="AC12" s="114">
        <v>0</v>
      </c>
      <c r="AD12" s="114">
        <v>0</v>
      </c>
      <c r="AE12" s="134">
        <v>0</v>
      </c>
      <c r="AF12" s="77">
        <v>0</v>
      </c>
      <c r="AG12" s="50">
        <v>0</v>
      </c>
      <c r="AH12" s="108">
        <v>0</v>
      </c>
      <c r="AI12" s="77">
        <v>25.083</v>
      </c>
      <c r="AJ12" s="77"/>
      <c r="AK12" s="114">
        <v>0</v>
      </c>
      <c r="AL12" s="114">
        <v>0</v>
      </c>
      <c r="AM12" s="134">
        <v>0</v>
      </c>
      <c r="AN12" s="134">
        <v>0</v>
      </c>
      <c r="AO12" s="114">
        <v>0</v>
      </c>
      <c r="AP12" s="114">
        <v>0</v>
      </c>
      <c r="AQ12" s="134">
        <v>43656</v>
      </c>
      <c r="AR12" s="134">
        <v>38015</v>
      </c>
      <c r="AS12" s="59">
        <f>409904+62000</f>
        <v>471904</v>
      </c>
      <c r="AT12" s="255">
        <f>248748+62000</f>
        <v>310748</v>
      </c>
      <c r="AU12" s="184">
        <v>62000</v>
      </c>
      <c r="AV12" s="134">
        <f>11795+2402600</f>
        <v>2414395</v>
      </c>
      <c r="AW12" s="50">
        <v>0</v>
      </c>
      <c r="AX12" s="114">
        <v>0</v>
      </c>
      <c r="AY12" s="77">
        <v>0</v>
      </c>
      <c r="AZ12" s="77">
        <v>0</v>
      </c>
      <c r="BA12" s="50">
        <f>10776616+1579154+544081</f>
        <v>12899851</v>
      </c>
      <c r="BB12" s="114">
        <v>0</v>
      </c>
      <c r="BC12" s="77">
        <v>0</v>
      </c>
      <c r="BD12" s="77">
        <f>368925+1529307+13033922</f>
        <v>14932154</v>
      </c>
      <c r="BE12" s="50">
        <v>0</v>
      </c>
      <c r="BF12" s="114">
        <v>123902.216</v>
      </c>
      <c r="BG12" s="77">
        <f>309000</f>
        <v>309000</v>
      </c>
      <c r="BH12" s="77">
        <f>10181+170000</f>
        <v>180181</v>
      </c>
      <c r="BI12" s="50">
        <v>0</v>
      </c>
      <c r="BJ12" s="114">
        <v>0</v>
      </c>
      <c r="BK12" s="77">
        <v>0</v>
      </c>
      <c r="BL12" s="77">
        <f>7513+30500</f>
        <v>38013</v>
      </c>
      <c r="BM12" s="50">
        <f>1416385-BM11</f>
        <v>-4748861</v>
      </c>
      <c r="BN12" s="114">
        <f>13749.122-BN11</f>
        <v>-6457973.878</v>
      </c>
      <c r="BO12" s="77">
        <v>0</v>
      </c>
      <c r="BP12" s="77">
        <f>17467599-BP11-BP10</f>
        <v>6944112</v>
      </c>
      <c r="BQ12" s="114">
        <v>0</v>
      </c>
      <c r="BR12" s="114">
        <v>0</v>
      </c>
      <c r="BS12" s="134">
        <v>501436</v>
      </c>
      <c r="BT12" s="134">
        <v>501436</v>
      </c>
      <c r="BU12" s="50">
        <v>0</v>
      </c>
      <c r="BV12" s="114">
        <v>0</v>
      </c>
      <c r="BW12" s="77">
        <v>0</v>
      </c>
      <c r="BX12" s="77">
        <v>0</v>
      </c>
      <c r="BY12" s="125">
        <v>204017.005</v>
      </c>
      <c r="BZ12" s="125">
        <v>204017.005</v>
      </c>
      <c r="CA12" s="77">
        <v>216009</v>
      </c>
      <c r="CB12" s="77">
        <v>216009</v>
      </c>
      <c r="CC12" s="125">
        <v>0</v>
      </c>
      <c r="CD12" s="125">
        <v>0</v>
      </c>
      <c r="CE12" s="77">
        <v>0</v>
      </c>
      <c r="CF12" s="77">
        <v>0</v>
      </c>
      <c r="CG12" s="50">
        <v>33550.561</v>
      </c>
      <c r="CH12" s="114">
        <v>106588.108</v>
      </c>
      <c r="CI12" s="77">
        <v>50577.034</v>
      </c>
      <c r="CJ12" s="77">
        <v>127366</v>
      </c>
      <c r="CK12" s="50">
        <v>0</v>
      </c>
      <c r="CL12" s="125">
        <v>0</v>
      </c>
      <c r="CM12" s="127"/>
      <c r="CN12" s="127"/>
      <c r="CO12" s="50">
        <v>0</v>
      </c>
      <c r="CP12" s="125">
        <v>790</v>
      </c>
      <c r="CQ12" s="77">
        <v>0</v>
      </c>
      <c r="CR12" s="125">
        <v>0</v>
      </c>
      <c r="CS12" s="125">
        <v>0</v>
      </c>
      <c r="CT12" s="77">
        <v>0</v>
      </c>
      <c r="CU12" s="77">
        <v>0</v>
      </c>
      <c r="CV12" s="50">
        <v>0</v>
      </c>
      <c r="CW12" s="125">
        <v>0</v>
      </c>
      <c r="CX12" s="77">
        <v>0</v>
      </c>
      <c r="CY12" s="77">
        <v>0</v>
      </c>
      <c r="CZ12" s="50">
        <v>0</v>
      </c>
      <c r="DA12" s="125">
        <v>0</v>
      </c>
      <c r="DB12" s="77">
        <v>0</v>
      </c>
      <c r="DC12" s="77">
        <v>0</v>
      </c>
      <c r="DD12" s="50">
        <v>46500.604</v>
      </c>
      <c r="DE12" s="114">
        <f>1863.872+46500.604</f>
        <v>48364.476</v>
      </c>
      <c r="DF12" s="77">
        <f>2466.441+46500.604</f>
        <v>48967.045</v>
      </c>
      <c r="DG12" s="77">
        <f>940+46501</f>
        <v>47441</v>
      </c>
      <c r="DH12" s="125">
        <v>0</v>
      </c>
      <c r="DI12" s="125">
        <v>0</v>
      </c>
      <c r="DJ12" s="77">
        <v>0</v>
      </c>
      <c r="DK12" s="77">
        <v>0</v>
      </c>
      <c r="DL12" s="50">
        <v>0</v>
      </c>
      <c r="DM12" s="125">
        <v>0</v>
      </c>
      <c r="DN12" s="77">
        <v>0</v>
      </c>
      <c r="DO12" s="77">
        <v>0</v>
      </c>
      <c r="DP12" s="50">
        <v>0</v>
      </c>
      <c r="DQ12" s="125">
        <v>0</v>
      </c>
      <c r="DR12" s="77">
        <v>0</v>
      </c>
      <c r="DS12" s="77">
        <v>0</v>
      </c>
      <c r="DT12" s="50">
        <v>0</v>
      </c>
      <c r="DU12" s="125">
        <v>5500</v>
      </c>
      <c r="DV12" s="77">
        <v>50000</v>
      </c>
      <c r="DW12" s="77"/>
      <c r="DX12" s="50">
        <v>0</v>
      </c>
      <c r="DY12" s="125">
        <v>0</v>
      </c>
      <c r="DZ12" s="77">
        <v>81441</v>
      </c>
      <c r="EA12" s="77"/>
      <c r="EB12" s="50">
        <v>0</v>
      </c>
      <c r="EC12" s="130">
        <v>650</v>
      </c>
      <c r="ED12" s="77">
        <v>0</v>
      </c>
      <c r="EE12" s="77">
        <f>10200+60578</f>
        <v>70778</v>
      </c>
      <c r="EF12" s="50">
        <v>74575.562</v>
      </c>
      <c r="EG12" s="125">
        <v>74575.562</v>
      </c>
      <c r="EH12" s="77">
        <v>74575.562</v>
      </c>
      <c r="EI12" s="77">
        <v>309206</v>
      </c>
      <c r="EJ12" s="50">
        <v>0</v>
      </c>
      <c r="EK12" s="125">
        <v>11990</v>
      </c>
      <c r="EL12" s="77">
        <f>1100+5990</f>
        <v>7090</v>
      </c>
      <c r="EM12" s="77">
        <v>1100</v>
      </c>
      <c r="EN12" s="50">
        <v>0</v>
      </c>
      <c r="EO12" s="125">
        <v>0</v>
      </c>
      <c r="EP12" s="77">
        <v>0</v>
      </c>
      <c r="EQ12" s="77">
        <v>0</v>
      </c>
      <c r="ER12" s="131">
        <v>0</v>
      </c>
      <c r="ES12" s="131">
        <v>0</v>
      </c>
      <c r="ET12" s="77">
        <v>0</v>
      </c>
      <c r="EU12" s="77">
        <v>0</v>
      </c>
      <c r="EV12" s="50">
        <v>0</v>
      </c>
      <c r="EW12" s="131">
        <v>48106.029</v>
      </c>
      <c r="EX12" s="77">
        <f>1334+8750</f>
        <v>10084</v>
      </c>
      <c r="EY12" s="77">
        <f>1334+3996</f>
        <v>5330</v>
      </c>
      <c r="EZ12" s="50">
        <v>0</v>
      </c>
      <c r="FA12" s="131">
        <v>0</v>
      </c>
      <c r="FB12" s="77">
        <v>0</v>
      </c>
      <c r="FC12" s="77">
        <v>0</v>
      </c>
      <c r="FD12" s="50">
        <v>0</v>
      </c>
      <c r="FE12" s="131">
        <v>0</v>
      </c>
      <c r="FF12" s="77">
        <v>0</v>
      </c>
      <c r="FG12" s="77">
        <v>0</v>
      </c>
      <c r="FH12" s="60">
        <v>92421.067</v>
      </c>
      <c r="FI12" s="179">
        <v>0</v>
      </c>
      <c r="FJ12" s="77">
        <v>0</v>
      </c>
      <c r="FK12" s="77">
        <v>0</v>
      </c>
      <c r="FL12" s="59"/>
      <c r="FM12" s="179">
        <v>0</v>
      </c>
      <c r="FN12" s="77">
        <v>0</v>
      </c>
      <c r="FO12" s="77">
        <v>0</v>
      </c>
      <c r="FQ12" t="s">
        <v>145</v>
      </c>
      <c r="FR12">
        <v>2</v>
      </c>
    </row>
    <row r="13" spans="1:174" ht="12.75">
      <c r="A13" s="53" t="s">
        <v>16</v>
      </c>
      <c r="B13" s="51">
        <f>SUM(B10:B12)</f>
        <v>41855357.80529</v>
      </c>
      <c r="C13" s="51">
        <f>SUM(C10:C12)</f>
        <v>56398296.786</v>
      </c>
      <c r="D13" s="162">
        <f>SUM(D10:D12)</f>
        <v>78750274.632</v>
      </c>
      <c r="E13" s="162">
        <f>SUM(E10:E12)</f>
        <v>40780149.96629</v>
      </c>
      <c r="F13" s="51">
        <f aca="true" t="shared" si="1" ref="F13:AI13">SUM(F10:F12)</f>
        <v>3323926.09</v>
      </c>
      <c r="G13" s="107">
        <f t="shared" si="1"/>
        <v>3973010.7060000002</v>
      </c>
      <c r="H13" s="78">
        <f>SUM(H10:H12)</f>
        <v>7368348.416</v>
      </c>
      <c r="I13" s="78">
        <f>SUM(I10:I12)</f>
        <v>7892381</v>
      </c>
      <c r="J13" s="51">
        <f t="shared" si="1"/>
        <v>0</v>
      </c>
      <c r="K13" s="107">
        <f t="shared" si="1"/>
        <v>1962473.224</v>
      </c>
      <c r="L13" s="111">
        <f t="shared" si="1"/>
        <v>1846241.255</v>
      </c>
      <c r="M13" s="111">
        <f>SUM(M10:M12)</f>
        <v>0</v>
      </c>
      <c r="N13" s="51">
        <f t="shared" si="1"/>
        <v>0</v>
      </c>
      <c r="O13" s="78">
        <f t="shared" si="1"/>
        <v>241726.41700000002</v>
      </c>
      <c r="P13" s="111">
        <f t="shared" si="1"/>
        <v>206875.381</v>
      </c>
      <c r="Q13" s="111">
        <f>SUM(Q10:Q12)</f>
        <v>188683</v>
      </c>
      <c r="R13" s="51">
        <f>SUM(R10:R12)</f>
        <v>280014</v>
      </c>
      <c r="S13" s="107">
        <f>SUM(S10:S12)</f>
        <v>264389</v>
      </c>
      <c r="T13" s="80">
        <f t="shared" si="1"/>
        <v>506693</v>
      </c>
      <c r="U13" s="80">
        <f>SUM(U10:U12)</f>
        <v>928325</v>
      </c>
      <c r="V13" s="51">
        <f>SUM(V10:V12)</f>
        <v>0</v>
      </c>
      <c r="W13" s="51">
        <f>SUM(W10:W12)</f>
        <v>2803890.818</v>
      </c>
      <c r="X13" s="80">
        <f t="shared" si="1"/>
        <v>2899873.699</v>
      </c>
      <c r="Y13" s="80">
        <f>SUM(Y10:Y12)</f>
        <v>3486871</v>
      </c>
      <c r="Z13" s="51">
        <f>SUM(Z10:Z12)</f>
        <v>1562316.0890999998</v>
      </c>
      <c r="AA13" s="107">
        <f>SUM(AA10:AA12)</f>
        <v>0</v>
      </c>
      <c r="AB13" s="80">
        <f t="shared" si="1"/>
        <v>2050487</v>
      </c>
      <c r="AC13" s="107">
        <f t="shared" si="1"/>
        <v>0</v>
      </c>
      <c r="AD13" s="107">
        <f t="shared" si="1"/>
        <v>0</v>
      </c>
      <c r="AE13" s="111">
        <f t="shared" si="1"/>
        <v>0</v>
      </c>
      <c r="AF13" s="80">
        <f>SUM(AF10:AF12)</f>
        <v>4050559</v>
      </c>
      <c r="AG13" s="51">
        <f t="shared" si="1"/>
        <v>1001158.679</v>
      </c>
      <c r="AH13" s="122">
        <f t="shared" si="1"/>
        <v>1258762.8830000001</v>
      </c>
      <c r="AI13" s="80">
        <f t="shared" si="1"/>
        <v>1139514.338</v>
      </c>
      <c r="AJ13" s="80">
        <f>SUM(AJ10:AJ12)</f>
        <v>763570</v>
      </c>
      <c r="AK13" s="107">
        <f aca="true" t="shared" si="2" ref="AK13:AQ13">SUM(AK10:AK12)</f>
        <v>0</v>
      </c>
      <c r="AL13" s="107">
        <f t="shared" si="2"/>
        <v>0</v>
      </c>
      <c r="AM13" s="111">
        <f t="shared" si="2"/>
        <v>0</v>
      </c>
      <c r="AN13" s="111">
        <f>SUM(AN10:AN12)</f>
        <v>0</v>
      </c>
      <c r="AO13" s="107">
        <f t="shared" si="2"/>
        <v>0</v>
      </c>
      <c r="AP13" s="107">
        <f t="shared" si="2"/>
        <v>0</v>
      </c>
      <c r="AQ13" s="111">
        <f t="shared" si="2"/>
        <v>535551</v>
      </c>
      <c r="AR13" s="111">
        <f aca="true" t="shared" si="3" ref="AR13:BT13">SUM(AR10:AR12)</f>
        <v>556274</v>
      </c>
      <c r="AS13" s="51">
        <f>SUM(AS10:AS12)</f>
        <v>1988599</v>
      </c>
      <c r="AT13" s="107">
        <f>SUM(AT10:AT12)</f>
        <v>1800741</v>
      </c>
      <c r="AU13" s="185">
        <f>SUM(AU10:AU12)</f>
        <v>1063088</v>
      </c>
      <c r="AV13" s="111">
        <f>SUM(AV10:AV12)</f>
        <v>5747364</v>
      </c>
      <c r="AW13" s="51">
        <f t="shared" si="3"/>
        <v>0</v>
      </c>
      <c r="AX13" s="107">
        <f t="shared" si="3"/>
        <v>129855</v>
      </c>
      <c r="AY13" s="78">
        <f t="shared" si="3"/>
        <v>186600</v>
      </c>
      <c r="AZ13" s="78">
        <f t="shared" si="3"/>
        <v>250387</v>
      </c>
      <c r="BA13" s="51">
        <f t="shared" si="3"/>
        <v>28153097</v>
      </c>
      <c r="BB13" s="107">
        <f t="shared" si="3"/>
        <v>29566745</v>
      </c>
      <c r="BC13" s="78">
        <f t="shared" si="3"/>
        <v>30045946</v>
      </c>
      <c r="BD13" s="78">
        <f t="shared" si="3"/>
        <v>31106106</v>
      </c>
      <c r="BE13" s="51">
        <f t="shared" si="3"/>
        <v>0</v>
      </c>
      <c r="BF13" s="107">
        <f t="shared" si="3"/>
        <v>1002453.8600000001</v>
      </c>
      <c r="BG13" s="78">
        <f t="shared" si="3"/>
        <v>936172.307</v>
      </c>
      <c r="BH13" s="78">
        <f t="shared" si="3"/>
        <v>754163</v>
      </c>
      <c r="BI13" s="51">
        <f t="shared" si="3"/>
        <v>0</v>
      </c>
      <c r="BJ13" s="107">
        <f t="shared" si="3"/>
        <v>0</v>
      </c>
      <c r="BK13" s="78">
        <f t="shared" si="3"/>
        <v>364198.364</v>
      </c>
      <c r="BL13" s="78">
        <f t="shared" si="3"/>
        <v>465461</v>
      </c>
      <c r="BM13" s="51">
        <f t="shared" si="3"/>
        <v>1420000</v>
      </c>
      <c r="BN13" s="107">
        <f t="shared" si="3"/>
        <v>4701586.122</v>
      </c>
      <c r="BO13" s="78">
        <f t="shared" si="3"/>
        <v>17961333</v>
      </c>
      <c r="BP13" s="78">
        <f t="shared" si="3"/>
        <v>17467599</v>
      </c>
      <c r="BQ13" s="107">
        <f t="shared" si="3"/>
        <v>0</v>
      </c>
      <c r="BR13" s="107">
        <f t="shared" si="3"/>
        <v>0</v>
      </c>
      <c r="BS13" s="111">
        <f t="shared" si="3"/>
        <v>936575</v>
      </c>
      <c r="BT13" s="111">
        <f t="shared" si="3"/>
        <v>1001774</v>
      </c>
      <c r="BU13" s="51">
        <f aca="true" t="shared" si="4" ref="BU13:CE13">SUM(BU10:BU12)</f>
        <v>265825.91502</v>
      </c>
      <c r="BV13" s="107">
        <f t="shared" si="4"/>
        <v>736183.623</v>
      </c>
      <c r="BW13" s="78">
        <f t="shared" si="4"/>
        <v>755196.708</v>
      </c>
      <c r="BX13" s="78">
        <f>SUM(BX10:BX12)</f>
        <v>793892</v>
      </c>
      <c r="BY13" s="107">
        <f t="shared" si="4"/>
        <v>437203.83999999997</v>
      </c>
      <c r="BZ13" s="107">
        <f t="shared" si="4"/>
        <v>445791.145</v>
      </c>
      <c r="CA13" s="78">
        <f t="shared" si="4"/>
        <v>436010</v>
      </c>
      <c r="CB13" s="78">
        <f>SUM(CB10:CB12)</f>
        <v>502307</v>
      </c>
      <c r="CC13" s="107">
        <f t="shared" si="4"/>
        <v>0</v>
      </c>
      <c r="CD13" s="107">
        <f t="shared" si="4"/>
        <v>0</v>
      </c>
      <c r="CE13" s="78">
        <f t="shared" si="4"/>
        <v>540893</v>
      </c>
      <c r="CF13" s="78">
        <f>SUM(CF10:CF12)</f>
        <v>0</v>
      </c>
      <c r="CG13" s="51">
        <f>SUM(CG10:CG12)</f>
        <v>1395715.8209999998</v>
      </c>
      <c r="CH13" s="107">
        <f>SUM(CH10:CH12)</f>
        <v>1278084.1979999999</v>
      </c>
      <c r="CI13" s="78">
        <f>SUM(CI10:CI12)</f>
        <v>1122533.178</v>
      </c>
      <c r="CJ13" s="78">
        <f>SUM(CJ10:CJ12)</f>
        <v>1213559</v>
      </c>
      <c r="CK13" s="51">
        <f aca="true" t="shared" si="5" ref="CK13:DA13">SUM(CK10:CK12)</f>
        <v>0</v>
      </c>
      <c r="CL13" s="107">
        <f t="shared" si="5"/>
        <v>214416.51299999998</v>
      </c>
      <c r="CM13" s="111">
        <f t="shared" si="5"/>
        <v>235466.497</v>
      </c>
      <c r="CN13" s="111">
        <f>SUM(CN10:CN12)</f>
        <v>215405</v>
      </c>
      <c r="CO13" s="51">
        <f t="shared" si="5"/>
        <v>0</v>
      </c>
      <c r="CP13" s="107">
        <f t="shared" si="5"/>
        <v>418260.73099999997</v>
      </c>
      <c r="CQ13" s="78">
        <f t="shared" si="5"/>
        <v>0</v>
      </c>
      <c r="CR13" s="107">
        <f t="shared" si="5"/>
        <v>0</v>
      </c>
      <c r="CS13" s="107">
        <f t="shared" si="5"/>
        <v>0</v>
      </c>
      <c r="CT13" s="78">
        <f t="shared" si="5"/>
        <v>0</v>
      </c>
      <c r="CU13" s="78">
        <f>SUM(CU10:CU12)</f>
        <v>373281</v>
      </c>
      <c r="CV13" s="51">
        <f t="shared" si="5"/>
        <v>574224.865</v>
      </c>
      <c r="CW13" s="107">
        <f t="shared" si="5"/>
        <v>529026.341</v>
      </c>
      <c r="CX13" s="78">
        <f t="shared" si="5"/>
        <v>350307.06700000004</v>
      </c>
      <c r="CY13" s="78">
        <f>SUM(CY10:CY12)</f>
        <v>322018</v>
      </c>
      <c r="CZ13" s="51">
        <f t="shared" si="5"/>
        <v>0</v>
      </c>
      <c r="DA13" s="107">
        <f t="shared" si="5"/>
        <v>1157948.009</v>
      </c>
      <c r="DB13" s="78">
        <f aca="true" t="shared" si="6" ref="DB13:DO13">SUM(DB10:DB12)</f>
        <v>1221069.504</v>
      </c>
      <c r="DC13" s="78">
        <f t="shared" si="6"/>
        <v>1489067</v>
      </c>
      <c r="DD13" s="51">
        <f t="shared" si="6"/>
        <v>1091737.08479</v>
      </c>
      <c r="DE13" s="107">
        <f t="shared" si="6"/>
        <v>1120423.105</v>
      </c>
      <c r="DF13" s="78">
        <f t="shared" si="6"/>
        <v>1402354.4929999998</v>
      </c>
      <c r="DG13" s="78">
        <f t="shared" si="6"/>
        <v>1295227</v>
      </c>
      <c r="DH13" s="107">
        <f t="shared" si="6"/>
        <v>0</v>
      </c>
      <c r="DI13" s="107">
        <f t="shared" si="6"/>
        <v>0</v>
      </c>
      <c r="DJ13" s="78">
        <f t="shared" si="6"/>
        <v>0</v>
      </c>
      <c r="DK13" s="78">
        <f t="shared" si="6"/>
        <v>0</v>
      </c>
      <c r="DL13" s="51">
        <f t="shared" si="6"/>
        <v>247957.95545</v>
      </c>
      <c r="DM13" s="107">
        <f t="shared" si="6"/>
        <v>0</v>
      </c>
      <c r="DN13" s="78">
        <f t="shared" si="6"/>
        <v>0</v>
      </c>
      <c r="DO13" s="78">
        <f t="shared" si="6"/>
        <v>0</v>
      </c>
      <c r="DP13" s="51">
        <f aca="true" t="shared" si="7" ref="DP13:FJ13">SUM(DP10:DP12)</f>
        <v>0</v>
      </c>
      <c r="DQ13" s="107">
        <f t="shared" si="7"/>
        <v>123328</v>
      </c>
      <c r="DR13" s="78">
        <f t="shared" si="7"/>
        <v>127705.984</v>
      </c>
      <c r="DS13" s="78">
        <f>SUM(DS10:DS12)</f>
        <v>123432</v>
      </c>
      <c r="DT13" s="51">
        <f t="shared" si="7"/>
        <v>0</v>
      </c>
      <c r="DU13" s="107">
        <f t="shared" si="7"/>
        <v>310564.17</v>
      </c>
      <c r="DV13" s="78">
        <f t="shared" si="7"/>
        <v>418946.41000000003</v>
      </c>
      <c r="DW13" s="78">
        <f>SUM(DW10:DW12)</f>
        <v>0</v>
      </c>
      <c r="DX13" s="51">
        <f t="shared" si="7"/>
        <v>0</v>
      </c>
      <c r="DY13" s="107">
        <f t="shared" si="7"/>
        <v>474736.409</v>
      </c>
      <c r="DZ13" s="78">
        <f t="shared" si="7"/>
        <v>448393.088</v>
      </c>
      <c r="EA13" s="78">
        <f>SUM(EA10:EA12)</f>
        <v>136153</v>
      </c>
      <c r="EB13" s="51">
        <f t="shared" si="7"/>
        <v>0</v>
      </c>
      <c r="EC13" s="107">
        <f t="shared" si="7"/>
        <v>1080747.355</v>
      </c>
      <c r="ED13" s="78">
        <f t="shared" si="7"/>
        <v>1376089</v>
      </c>
      <c r="EE13" s="78">
        <f>SUM(EE10:EE12)</f>
        <v>1531358</v>
      </c>
      <c r="EF13" s="51">
        <f t="shared" si="7"/>
        <v>912801.786</v>
      </c>
      <c r="EG13" s="107">
        <f t="shared" si="7"/>
        <v>1104533.465</v>
      </c>
      <c r="EH13" s="78">
        <f t="shared" si="7"/>
        <v>1521656.686</v>
      </c>
      <c r="EI13" s="78">
        <f>SUM(EI10:EI12)</f>
        <v>1798051</v>
      </c>
      <c r="EJ13" s="51">
        <f t="shared" si="7"/>
        <v>299345.81</v>
      </c>
      <c r="EK13" s="107">
        <f t="shared" si="7"/>
        <v>295219.64</v>
      </c>
      <c r="EL13" s="78">
        <f t="shared" si="7"/>
        <v>297488.128</v>
      </c>
      <c r="EM13" s="78">
        <f>SUM(EM10:EM12)</f>
        <v>372979</v>
      </c>
      <c r="EN13" s="51">
        <f t="shared" si="7"/>
        <v>222097.83492999998</v>
      </c>
      <c r="EO13" s="107">
        <f t="shared" si="7"/>
        <v>195161.185</v>
      </c>
      <c r="EP13" s="78">
        <f t="shared" si="7"/>
        <v>193687.332</v>
      </c>
      <c r="EQ13" s="78">
        <f aca="true" t="shared" si="8" ref="EQ13:EW13">SUM(EQ10:EQ12)</f>
        <v>0</v>
      </c>
      <c r="ER13" s="107">
        <f t="shared" si="8"/>
        <v>0</v>
      </c>
      <c r="ES13" s="107">
        <f t="shared" si="8"/>
        <v>0</v>
      </c>
      <c r="ET13" s="78">
        <f t="shared" si="8"/>
        <v>275170.631</v>
      </c>
      <c r="EU13" s="78">
        <f t="shared" si="8"/>
        <v>574750</v>
      </c>
      <c r="EV13" s="51">
        <f t="shared" si="8"/>
        <v>507216.035</v>
      </c>
      <c r="EW13" s="107">
        <f t="shared" si="8"/>
        <v>463726.22399999993</v>
      </c>
      <c r="EX13" s="78">
        <f t="shared" si="7"/>
        <v>528258</v>
      </c>
      <c r="EY13" s="78">
        <f>SUM(EY10:EY12)</f>
        <v>795626</v>
      </c>
      <c r="EZ13" s="51">
        <f>SUM(EZ10:EZ12)</f>
        <v>0</v>
      </c>
      <c r="FA13" s="107">
        <f>SUM(FA10:FA12)</f>
        <v>545253.643</v>
      </c>
      <c r="FB13" s="78">
        <f t="shared" si="7"/>
        <v>394021.16599999997</v>
      </c>
      <c r="FC13" s="78">
        <f>SUM(FC10:FC12)</f>
        <v>0</v>
      </c>
      <c r="FD13" s="51">
        <f t="shared" si="7"/>
        <v>160719</v>
      </c>
      <c r="FE13" s="107">
        <f t="shared" si="7"/>
        <v>0</v>
      </c>
      <c r="FF13" s="78">
        <f t="shared" si="7"/>
        <v>120619</v>
      </c>
      <c r="FG13" s="78">
        <f>SUM(FG10:FG12)</f>
        <v>0</v>
      </c>
      <c r="FH13" s="61">
        <f t="shared" si="7"/>
        <v>2248718.2509999997</v>
      </c>
      <c r="FI13" s="107">
        <f t="shared" si="7"/>
        <v>0</v>
      </c>
      <c r="FJ13" s="78">
        <f t="shared" si="7"/>
        <v>0</v>
      </c>
      <c r="FK13" s="78">
        <f>SUM(FK10:FK12)</f>
        <v>3565855</v>
      </c>
      <c r="FL13" s="51">
        <f>SUM(FL10:FL12)</f>
        <v>0</v>
      </c>
      <c r="FM13" s="107">
        <f>SUM(FM10:FM12)</f>
        <v>0</v>
      </c>
      <c r="FN13" s="78">
        <f>SUM(FN10:FN12)</f>
        <v>0</v>
      </c>
      <c r="FO13" s="78">
        <f>SUM(FO10:FO12)</f>
        <v>422233</v>
      </c>
      <c r="FQ13" t="s">
        <v>144</v>
      </c>
      <c r="FR13">
        <f>+FR11-FR12</f>
        <v>36</v>
      </c>
    </row>
    <row r="14" spans="1:174" ht="12.75">
      <c r="A14" s="53" t="s">
        <v>17</v>
      </c>
      <c r="B14" s="51"/>
      <c r="C14" s="51"/>
      <c r="D14" s="162"/>
      <c r="E14" s="162"/>
      <c r="F14" s="51"/>
      <c r="G14" s="107"/>
      <c r="H14" s="78"/>
      <c r="I14" s="78"/>
      <c r="J14" s="51"/>
      <c r="K14" s="107"/>
      <c r="L14" s="111"/>
      <c r="M14" s="111"/>
      <c r="N14" s="51"/>
      <c r="O14" s="77"/>
      <c r="P14" s="111"/>
      <c r="Q14" s="111"/>
      <c r="R14" s="51"/>
      <c r="S14" s="107"/>
      <c r="T14" s="78"/>
      <c r="U14" s="78"/>
      <c r="V14" s="51"/>
      <c r="W14" s="51"/>
      <c r="X14" s="78"/>
      <c r="Y14" s="78"/>
      <c r="Z14" s="51"/>
      <c r="AA14" s="107"/>
      <c r="AB14" s="78"/>
      <c r="AC14" s="107"/>
      <c r="AD14" s="107"/>
      <c r="AE14" s="111"/>
      <c r="AF14" s="78"/>
      <c r="AG14" s="51"/>
      <c r="AH14" s="122"/>
      <c r="AI14" s="78"/>
      <c r="AJ14" s="78"/>
      <c r="AK14" s="107"/>
      <c r="AL14" s="107"/>
      <c r="AM14" s="111"/>
      <c r="AN14" s="111"/>
      <c r="AO14" s="107"/>
      <c r="AP14" s="107"/>
      <c r="AQ14" s="111"/>
      <c r="AR14" s="111"/>
      <c r="AS14" s="51"/>
      <c r="AT14" s="107"/>
      <c r="AU14" s="185"/>
      <c r="AV14" s="111"/>
      <c r="AW14" s="51"/>
      <c r="AX14" s="107"/>
      <c r="AY14" s="78"/>
      <c r="AZ14" s="78"/>
      <c r="BA14" s="51"/>
      <c r="BB14" s="107"/>
      <c r="BC14" s="78"/>
      <c r="BD14" s="78"/>
      <c r="BE14" s="51"/>
      <c r="BF14" s="107"/>
      <c r="BG14" s="78"/>
      <c r="BH14" s="78"/>
      <c r="BI14" s="51"/>
      <c r="BJ14" s="107"/>
      <c r="BK14" s="78"/>
      <c r="BL14" s="78"/>
      <c r="BM14" s="51"/>
      <c r="BN14" s="107"/>
      <c r="BO14" s="78"/>
      <c r="BP14" s="78"/>
      <c r="BQ14" s="107"/>
      <c r="BR14" s="107"/>
      <c r="BS14" s="111"/>
      <c r="BT14" s="111"/>
      <c r="BU14" s="51"/>
      <c r="BV14" s="107"/>
      <c r="BW14" s="78"/>
      <c r="BX14" s="78"/>
      <c r="BY14" s="107"/>
      <c r="BZ14" s="107"/>
      <c r="CA14" s="78"/>
      <c r="CB14" s="78"/>
      <c r="CC14" s="107"/>
      <c r="CD14" s="107"/>
      <c r="CE14" s="78"/>
      <c r="CF14" s="78"/>
      <c r="CG14" s="51"/>
      <c r="CH14" s="107"/>
      <c r="CI14" s="78"/>
      <c r="CJ14" s="78"/>
      <c r="CK14" s="51"/>
      <c r="CL14" s="107"/>
      <c r="CM14" s="111"/>
      <c r="CN14" s="111"/>
      <c r="CO14" s="51"/>
      <c r="CP14" s="107"/>
      <c r="CQ14" s="78"/>
      <c r="CR14" s="107"/>
      <c r="CS14" s="107"/>
      <c r="CT14" s="78"/>
      <c r="CU14" s="78"/>
      <c r="CV14" s="51"/>
      <c r="CW14" s="107"/>
      <c r="CX14" s="78"/>
      <c r="CY14" s="78"/>
      <c r="CZ14" s="51"/>
      <c r="DA14" s="107"/>
      <c r="DB14" s="78"/>
      <c r="DC14" s="78"/>
      <c r="DD14" s="51"/>
      <c r="DE14" s="107"/>
      <c r="DF14" s="78"/>
      <c r="DG14" s="78"/>
      <c r="DH14" s="107"/>
      <c r="DI14" s="107"/>
      <c r="DJ14" s="78"/>
      <c r="DK14" s="78"/>
      <c r="DL14" s="51"/>
      <c r="DM14" s="107"/>
      <c r="DN14" s="78"/>
      <c r="DO14" s="78"/>
      <c r="DP14" s="51"/>
      <c r="DQ14" s="107"/>
      <c r="DR14" s="78"/>
      <c r="DS14" s="78"/>
      <c r="DT14" s="51"/>
      <c r="DU14" s="107"/>
      <c r="DV14" s="78"/>
      <c r="DW14" s="78"/>
      <c r="DX14" s="51"/>
      <c r="DY14" s="107"/>
      <c r="DZ14" s="78"/>
      <c r="EA14" s="78"/>
      <c r="EB14" s="51"/>
      <c r="EC14" s="107"/>
      <c r="ED14" s="78"/>
      <c r="EE14" s="78"/>
      <c r="EF14" s="51"/>
      <c r="EG14" s="107"/>
      <c r="EH14" s="78"/>
      <c r="EI14" s="78"/>
      <c r="EJ14" s="51"/>
      <c r="EK14" s="107"/>
      <c r="EL14" s="78"/>
      <c r="EM14" s="78"/>
      <c r="EN14" s="51"/>
      <c r="EO14" s="107"/>
      <c r="EP14" s="78"/>
      <c r="EQ14" s="78"/>
      <c r="ER14" s="107"/>
      <c r="ES14" s="107"/>
      <c r="ET14" s="78"/>
      <c r="EU14" s="78"/>
      <c r="EV14" s="51"/>
      <c r="EW14" s="107"/>
      <c r="EX14" s="78"/>
      <c r="EY14" s="78"/>
      <c r="EZ14" s="51"/>
      <c r="FA14" s="107"/>
      <c r="FB14" s="78"/>
      <c r="FC14" s="78"/>
      <c r="FD14" s="51"/>
      <c r="FE14" s="107"/>
      <c r="FF14" s="78"/>
      <c r="FG14" s="78"/>
      <c r="FH14" s="61"/>
      <c r="FI14" s="107"/>
      <c r="FJ14" s="78"/>
      <c r="FK14" s="78"/>
      <c r="FL14" s="51"/>
      <c r="FM14" s="107"/>
      <c r="FN14" s="78"/>
      <c r="FO14" s="78"/>
      <c r="FQ14" t="s">
        <v>146</v>
      </c>
      <c r="FR14">
        <f>+FR13-FR15</f>
        <v>29</v>
      </c>
    </row>
    <row r="15" spans="1:174" ht="12.75">
      <c r="A15" s="55" t="s">
        <v>18</v>
      </c>
      <c r="B15" s="50">
        <f aca="true" t="shared" si="9" ref="B15:D17">F15+J15+N15+R15+V15+Z15+AC15+AG15+AK15+AO15+AW15+BA15+BE15+BI15+BM15+BQ15+BU15+BY15+CC15+CG15+CK15+CO15+CR15+CV15+CZ15+DD15+DH15+DL15+DP15+DT15+DX15+EB15+EF15+EJ15+EN15+ER15+EV15+EZ15+FD15</f>
        <v>8897652.29486</v>
      </c>
      <c r="C15" s="50">
        <f t="shared" si="9"/>
        <v>26366126.222</v>
      </c>
      <c r="D15" s="161">
        <f t="shared" si="9"/>
        <v>27932013.143</v>
      </c>
      <c r="E15" s="161">
        <f>J15+N15+R15+V15+Z15+AC15+AG15+AK15+AO15+AW15+BA15+BE15+BI15+BM15+BQ15+BU15+BY15+CC15+CG15+CK15+CO15+CR15+CV15+CZ15+DD15+DH15+DL15+DP15+DT15+DX15+EB15+EF15+EJ15+EN15+ER15+EV15+EZ15+FD15+FH15</f>
        <v>9794589.78586</v>
      </c>
      <c r="F15" s="50">
        <v>488920.556</v>
      </c>
      <c r="G15" s="106">
        <v>648318.484</v>
      </c>
      <c r="H15" s="77">
        <v>636323.669</v>
      </c>
      <c r="I15" s="77">
        <v>923497</v>
      </c>
      <c r="J15" s="50">
        <v>0</v>
      </c>
      <c r="K15" s="106">
        <v>921146.229</v>
      </c>
      <c r="L15" s="110">
        <v>1108362.073</v>
      </c>
      <c r="M15" s="110"/>
      <c r="N15" s="50">
        <v>0</v>
      </c>
      <c r="O15" s="77">
        <v>186373.732</v>
      </c>
      <c r="P15" s="110">
        <v>121690.887</v>
      </c>
      <c r="Q15" s="110">
        <v>154880</v>
      </c>
      <c r="R15" s="50">
        <v>85926</v>
      </c>
      <c r="S15" s="114">
        <v>60408</v>
      </c>
      <c r="T15" s="77">
        <v>344379</v>
      </c>
      <c r="U15" s="77">
        <v>749917</v>
      </c>
      <c r="V15" s="50">
        <v>0</v>
      </c>
      <c r="W15" s="50">
        <v>1786965.934</v>
      </c>
      <c r="X15" s="77">
        <f>1773601.362-247022.893</f>
        <v>1526578.469</v>
      </c>
      <c r="Y15" s="77">
        <v>2143672</v>
      </c>
      <c r="Z15" s="50">
        <f>990500+37613.0891+80000+64375+40</f>
        <v>1172528.0891</v>
      </c>
      <c r="AA15" s="114">
        <v>0</v>
      </c>
      <c r="AB15" s="77">
        <v>918481</v>
      </c>
      <c r="AC15" s="114">
        <v>0</v>
      </c>
      <c r="AD15" s="114">
        <v>0</v>
      </c>
      <c r="AE15" s="134">
        <v>0</v>
      </c>
      <c r="AF15" s="77">
        <v>1187221</v>
      </c>
      <c r="AG15" s="50">
        <v>0</v>
      </c>
      <c r="AH15" s="123">
        <f>856.854+303524.178+316939.665+6749+1021.427+84504.293</f>
        <v>713595.4169999999</v>
      </c>
      <c r="AI15" s="77">
        <f>590899.579-9480.628</f>
        <v>581418.951</v>
      </c>
      <c r="AJ15" s="77">
        <v>214765</v>
      </c>
      <c r="AK15" s="114">
        <v>0</v>
      </c>
      <c r="AL15" s="114">
        <v>0</v>
      </c>
      <c r="AM15" s="134">
        <v>0</v>
      </c>
      <c r="AN15" s="134">
        <v>0</v>
      </c>
      <c r="AO15" s="114">
        <v>0</v>
      </c>
      <c r="AP15" s="114">
        <v>0</v>
      </c>
      <c r="AQ15" s="134">
        <v>279308</v>
      </c>
      <c r="AR15" s="134">
        <v>293591</v>
      </c>
      <c r="AS15" s="50">
        <v>157523</v>
      </c>
      <c r="AT15" s="130">
        <v>150253</v>
      </c>
      <c r="AU15" s="183">
        <v>179883</v>
      </c>
      <c r="AV15" s="134">
        <v>4541431</v>
      </c>
      <c r="AW15" s="50">
        <v>0</v>
      </c>
      <c r="AX15" s="114">
        <v>97500</v>
      </c>
      <c r="AY15" s="77">
        <v>180750</v>
      </c>
      <c r="AZ15" s="77">
        <v>205380</v>
      </c>
      <c r="BA15" s="50">
        <v>1221948</v>
      </c>
      <c r="BB15" s="114">
        <v>13045844</v>
      </c>
      <c r="BC15" s="77">
        <v>11580418</v>
      </c>
      <c r="BD15" s="77">
        <v>10677668</v>
      </c>
      <c r="BE15" s="50">
        <v>0</v>
      </c>
      <c r="BF15" s="114">
        <f>457935.987</f>
        <v>457935.987</v>
      </c>
      <c r="BG15" s="77">
        <v>188473.161</v>
      </c>
      <c r="BH15" s="77">
        <v>260362</v>
      </c>
      <c r="BI15" s="50">
        <v>0</v>
      </c>
      <c r="BJ15" s="114">
        <v>0</v>
      </c>
      <c r="BK15" s="77">
        <v>32217.354</v>
      </c>
      <c r="BL15" s="77">
        <v>71114</v>
      </c>
      <c r="BM15" s="50">
        <v>4632091</v>
      </c>
      <c r="BN15" s="114">
        <v>5135541</v>
      </c>
      <c r="BO15" s="77">
        <v>5754384</v>
      </c>
      <c r="BP15" s="77">
        <v>4986060</v>
      </c>
      <c r="BQ15" s="114">
        <v>0</v>
      </c>
      <c r="BR15" s="114">
        <v>0</v>
      </c>
      <c r="BS15" s="134">
        <v>584010</v>
      </c>
      <c r="BT15" s="134">
        <v>445353</v>
      </c>
      <c r="BU15" s="50">
        <v>6908.80476</v>
      </c>
      <c r="BV15" s="114">
        <v>15585.935</v>
      </c>
      <c r="BW15" s="77">
        <v>13033.548</v>
      </c>
      <c r="BX15" s="77">
        <v>18258</v>
      </c>
      <c r="BY15" s="125">
        <v>129436.167</v>
      </c>
      <c r="BZ15" s="125">
        <v>124089.979</v>
      </c>
      <c r="CA15" s="77">
        <v>90489</v>
      </c>
      <c r="CB15" s="77">
        <v>137098</v>
      </c>
      <c r="CC15" s="125">
        <v>0</v>
      </c>
      <c r="CD15" s="125">
        <v>0</v>
      </c>
      <c r="CE15" s="77">
        <v>55651</v>
      </c>
      <c r="CF15" s="77"/>
      <c r="CG15" s="50">
        <v>0</v>
      </c>
      <c r="CH15" s="114">
        <v>320913.965</v>
      </c>
      <c r="CI15" s="77">
        <v>298603.646</v>
      </c>
      <c r="CJ15" s="77">
        <v>272016</v>
      </c>
      <c r="CK15" s="50">
        <v>0</v>
      </c>
      <c r="CL15" s="125">
        <v>100731.522</v>
      </c>
      <c r="CM15" s="127">
        <v>119849.038</v>
      </c>
      <c r="CN15" s="127">
        <v>76206</v>
      </c>
      <c r="CO15" s="50">
        <v>0</v>
      </c>
      <c r="CP15" s="125">
        <v>85777.502</v>
      </c>
      <c r="CQ15" s="77">
        <v>0</v>
      </c>
      <c r="CR15" s="125">
        <v>0</v>
      </c>
      <c r="CS15" s="125">
        <v>0</v>
      </c>
      <c r="CT15" s="77">
        <v>0</v>
      </c>
      <c r="CU15" s="77">
        <v>239501</v>
      </c>
      <c r="CV15" s="50">
        <v>414807.406</v>
      </c>
      <c r="CW15" s="125">
        <v>387752.667</v>
      </c>
      <c r="CX15" s="77">
        <v>192752.056</v>
      </c>
      <c r="CY15" s="77">
        <v>777</v>
      </c>
      <c r="CZ15" s="50">
        <v>0</v>
      </c>
      <c r="DA15" s="125">
        <v>123528</v>
      </c>
      <c r="DB15" s="77">
        <v>72359</v>
      </c>
      <c r="DC15" s="77">
        <v>231145</v>
      </c>
      <c r="DD15" s="50">
        <v>0</v>
      </c>
      <c r="DE15" s="114">
        <v>0</v>
      </c>
      <c r="DF15" s="77">
        <f>514653.998-DF17</f>
        <v>511375.67600000004</v>
      </c>
      <c r="DG15" s="77">
        <v>407461</v>
      </c>
      <c r="DH15" s="125">
        <v>0</v>
      </c>
      <c r="DI15" s="125">
        <v>0</v>
      </c>
      <c r="DJ15" s="77">
        <v>0</v>
      </c>
      <c r="DK15" s="77">
        <v>0</v>
      </c>
      <c r="DL15" s="50">
        <v>76876.287</v>
      </c>
      <c r="DM15" s="125">
        <v>0</v>
      </c>
      <c r="DN15" s="77">
        <v>0</v>
      </c>
      <c r="DO15" s="77">
        <v>0</v>
      </c>
      <c r="DP15" s="50">
        <v>0</v>
      </c>
      <c r="DQ15" s="125">
        <v>26870</v>
      </c>
      <c r="DR15" s="77">
        <v>26870</v>
      </c>
      <c r="DS15" s="77">
        <v>0</v>
      </c>
      <c r="DT15" s="50">
        <v>0</v>
      </c>
      <c r="DU15" s="125">
        <v>205039.05</v>
      </c>
      <c r="DV15" s="77">
        <v>204366.35</v>
      </c>
      <c r="DW15" s="77"/>
      <c r="DX15" s="50">
        <v>0</v>
      </c>
      <c r="DY15" s="125">
        <v>100530.716</v>
      </c>
      <c r="DZ15" s="77">
        <v>155940.542</v>
      </c>
      <c r="EA15" s="77">
        <v>39939</v>
      </c>
      <c r="EB15" s="50">
        <v>0</v>
      </c>
      <c r="EC15" s="130">
        <v>678115.598</v>
      </c>
      <c r="ED15" s="77">
        <v>866507.018</v>
      </c>
      <c r="EE15" s="77">
        <v>245267</v>
      </c>
      <c r="EF15" s="50">
        <v>327468.777</v>
      </c>
      <c r="EG15" s="125">
        <v>494890.809</v>
      </c>
      <c r="EH15" s="77">
        <v>744796.352</v>
      </c>
      <c r="EI15" s="77">
        <v>861824</v>
      </c>
      <c r="EJ15" s="50">
        <v>46169.14</v>
      </c>
      <c r="EK15" s="125">
        <v>47837.445</v>
      </c>
      <c r="EL15" s="77">
        <v>30559.331</v>
      </c>
      <c r="EM15" s="77">
        <v>72945</v>
      </c>
      <c r="EN15" s="50">
        <v>124553.481</v>
      </c>
      <c r="EO15" s="125">
        <v>112231.238</v>
      </c>
      <c r="EP15" s="77">
        <v>111607.998</v>
      </c>
      <c r="EQ15" s="77"/>
      <c r="ER15" s="131">
        <v>0</v>
      </c>
      <c r="ES15" s="131">
        <v>0</v>
      </c>
      <c r="ET15" s="77">
        <v>60180.631</v>
      </c>
      <c r="EU15" s="77">
        <v>191380</v>
      </c>
      <c r="EV15" s="59">
        <v>120143.587</v>
      </c>
      <c r="EW15" s="131">
        <f>105833.649+51410.752+32866.995+55278.133</f>
        <v>245389.529</v>
      </c>
      <c r="EX15" s="77">
        <v>339829</v>
      </c>
      <c r="EY15" s="77">
        <v>495987</v>
      </c>
      <c r="EZ15" s="50">
        <v>0</v>
      </c>
      <c r="FA15" s="131">
        <v>243213.484</v>
      </c>
      <c r="FB15" s="77">
        <v>200448.393</v>
      </c>
      <c r="FC15" s="77"/>
      <c r="FD15" s="50">
        <v>49875</v>
      </c>
      <c r="FE15" s="131">
        <v>0</v>
      </c>
      <c r="FF15" s="133">
        <v>0</v>
      </c>
      <c r="FG15" s="133">
        <v>0</v>
      </c>
      <c r="FH15" s="60">
        <v>1385858.047</v>
      </c>
      <c r="FI15" s="179">
        <v>0</v>
      </c>
      <c r="FJ15" s="77">
        <v>0</v>
      </c>
      <c r="FK15" s="77">
        <v>2000806</v>
      </c>
      <c r="FL15" s="50"/>
      <c r="FM15" s="179">
        <v>0</v>
      </c>
      <c r="FN15" s="77">
        <v>0</v>
      </c>
      <c r="FO15" s="77">
        <v>101033</v>
      </c>
      <c r="FQ15" t="s">
        <v>147</v>
      </c>
      <c r="FR15">
        <v>7</v>
      </c>
    </row>
    <row r="16" spans="1:174" ht="12.75">
      <c r="A16" s="52" t="s">
        <v>19</v>
      </c>
      <c r="B16" s="50">
        <f t="shared" si="9"/>
        <v>4129136.73451</v>
      </c>
      <c r="C16" s="50">
        <f t="shared" si="9"/>
        <v>2857873.7320000003</v>
      </c>
      <c r="D16" s="161">
        <f t="shared" si="9"/>
        <v>2357496.466</v>
      </c>
      <c r="E16" s="161">
        <f>J16+N16+R16+V16+Z16+AC16+AG16+AK16+AO16+AW16+BA16+BE16+BI16+BM16+BQ16+BU16+BY16+CC16+CG16+CK16+CO16+CR16+CV16+CZ16+DD16+DH16+DL16+DP16+DT16+DX16+EB16+EF16+EJ16+EN16+ER16+EV16+EZ16+FD16+FH16</f>
        <v>3984759.51451</v>
      </c>
      <c r="F16" s="50">
        <v>144377.22</v>
      </c>
      <c r="G16" s="106">
        <v>244377.22</v>
      </c>
      <c r="H16" s="77">
        <v>460898.15</v>
      </c>
      <c r="I16" s="77">
        <v>569026</v>
      </c>
      <c r="J16" s="50">
        <v>0</v>
      </c>
      <c r="K16" s="106">
        <v>557636.954</v>
      </c>
      <c r="L16" s="110">
        <v>102720.688</v>
      </c>
      <c r="M16" s="110"/>
      <c r="N16" s="50">
        <v>0</v>
      </c>
      <c r="O16" s="77">
        <v>0</v>
      </c>
      <c r="P16" s="110">
        <v>25000</v>
      </c>
      <c r="Q16" s="110"/>
      <c r="R16" s="50">
        <v>0</v>
      </c>
      <c r="S16" s="114">
        <v>0</v>
      </c>
      <c r="T16" s="77"/>
      <c r="U16" s="77"/>
      <c r="V16" s="50">
        <v>0</v>
      </c>
      <c r="W16" s="50">
        <v>0</v>
      </c>
      <c r="X16" s="77"/>
      <c r="Y16" s="77"/>
      <c r="Z16" s="50">
        <v>0</v>
      </c>
      <c r="AA16" s="114">
        <v>0</v>
      </c>
      <c r="AB16" s="77">
        <v>439519</v>
      </c>
      <c r="AC16" s="114">
        <v>0</v>
      </c>
      <c r="AD16" s="114">
        <v>0</v>
      </c>
      <c r="AE16" s="134">
        <v>0</v>
      </c>
      <c r="AF16" s="77">
        <v>1423424</v>
      </c>
      <c r="AG16" s="50">
        <v>475381.2324</v>
      </c>
      <c r="AH16" s="123">
        <v>8362.628</v>
      </c>
      <c r="AI16" s="77">
        <v>9480.628</v>
      </c>
      <c r="AJ16" s="77"/>
      <c r="AK16" s="114">
        <v>0</v>
      </c>
      <c r="AL16" s="114">
        <v>0</v>
      </c>
      <c r="AM16" s="134">
        <v>0</v>
      </c>
      <c r="AN16" s="134">
        <v>0</v>
      </c>
      <c r="AO16" s="114">
        <v>0</v>
      </c>
      <c r="AP16" s="114">
        <v>0</v>
      </c>
      <c r="AQ16" s="134">
        <v>0</v>
      </c>
      <c r="AR16" s="134">
        <v>0</v>
      </c>
      <c r="AS16" s="50">
        <v>986144</v>
      </c>
      <c r="AT16" s="130">
        <v>788863</v>
      </c>
      <c r="AU16" s="183">
        <v>0</v>
      </c>
      <c r="AV16" s="134">
        <v>0</v>
      </c>
      <c r="AW16" s="50">
        <v>0</v>
      </c>
      <c r="AX16" s="114">
        <v>0</v>
      </c>
      <c r="AY16" s="77">
        <v>0</v>
      </c>
      <c r="AZ16" s="77">
        <v>0</v>
      </c>
      <c r="BA16" s="50">
        <v>1096603</v>
      </c>
      <c r="BB16" s="114">
        <v>121786</v>
      </c>
      <c r="BC16" s="77">
        <v>1156707</v>
      </c>
      <c r="BD16" s="77">
        <v>1815695</v>
      </c>
      <c r="BE16" s="50">
        <v>0</v>
      </c>
      <c r="BF16" s="114">
        <v>0</v>
      </c>
      <c r="BG16" s="77">
        <v>0</v>
      </c>
      <c r="BH16" s="77">
        <v>0</v>
      </c>
      <c r="BI16" s="50">
        <v>0</v>
      </c>
      <c r="BJ16" s="114">
        <v>0</v>
      </c>
      <c r="BK16" s="77">
        <v>0</v>
      </c>
      <c r="BL16" s="77">
        <v>0</v>
      </c>
      <c r="BM16" s="50">
        <v>1648485</v>
      </c>
      <c r="BN16" s="114">
        <v>1657025</v>
      </c>
      <c r="BO16" s="77">
        <v>101726</v>
      </c>
      <c r="BP16" s="77">
        <v>1054331</v>
      </c>
      <c r="BQ16" s="114">
        <v>0</v>
      </c>
      <c r="BR16" s="114">
        <v>0</v>
      </c>
      <c r="BS16" s="134">
        <v>56445</v>
      </c>
      <c r="BT16" s="134">
        <v>16626</v>
      </c>
      <c r="BU16" s="50">
        <v>0</v>
      </c>
      <c r="BV16" s="114">
        <v>0</v>
      </c>
      <c r="BW16" s="77">
        <v>0</v>
      </c>
      <c r="BX16" s="77">
        <v>0</v>
      </c>
      <c r="BY16" s="125">
        <v>1000</v>
      </c>
      <c r="BZ16" s="125">
        <v>1000</v>
      </c>
      <c r="CA16" s="77">
        <v>0</v>
      </c>
      <c r="CB16" s="77">
        <v>0</v>
      </c>
      <c r="CC16" s="125">
        <v>0</v>
      </c>
      <c r="CD16" s="125">
        <v>0</v>
      </c>
      <c r="CE16" s="77">
        <v>0</v>
      </c>
      <c r="CF16" s="77">
        <v>0</v>
      </c>
      <c r="CG16" s="50">
        <v>236079.506</v>
      </c>
      <c r="CH16" s="114">
        <v>0</v>
      </c>
      <c r="CI16" s="77">
        <v>0</v>
      </c>
      <c r="CJ16" s="77">
        <v>0</v>
      </c>
      <c r="CK16" s="50">
        <v>0</v>
      </c>
      <c r="CL16" s="125">
        <v>0</v>
      </c>
      <c r="CM16" s="127"/>
      <c r="CN16" s="127"/>
      <c r="CO16" s="50">
        <v>0</v>
      </c>
      <c r="CP16" s="125">
        <v>0</v>
      </c>
      <c r="CQ16" s="77">
        <v>0</v>
      </c>
      <c r="CR16" s="125">
        <v>0</v>
      </c>
      <c r="CS16" s="125">
        <v>0</v>
      </c>
      <c r="CT16" s="77">
        <v>0</v>
      </c>
      <c r="CU16" s="77">
        <v>0</v>
      </c>
      <c r="CV16" s="50">
        <v>0</v>
      </c>
      <c r="CW16" s="125">
        <v>0</v>
      </c>
      <c r="CX16" s="77">
        <v>0</v>
      </c>
      <c r="CY16" s="77">
        <v>0</v>
      </c>
      <c r="CZ16" s="50">
        <v>0</v>
      </c>
      <c r="DA16" s="125">
        <v>0</v>
      </c>
      <c r="DB16" s="77">
        <v>0</v>
      </c>
      <c r="DC16" s="77">
        <v>0</v>
      </c>
      <c r="DD16" s="50">
        <f>2234.985+1422.5+208382.75511+55900+725.017+58410.804</f>
        <v>327076.06111</v>
      </c>
      <c r="DE16" s="114">
        <f>625+165075.781+45656+5223.197+51105.952</f>
        <v>267685.93</v>
      </c>
      <c r="DF16" s="77">
        <v>0</v>
      </c>
      <c r="DG16" s="77">
        <v>0</v>
      </c>
      <c r="DH16" s="125">
        <v>0</v>
      </c>
      <c r="DI16" s="125">
        <v>0</v>
      </c>
      <c r="DJ16" s="77">
        <v>0</v>
      </c>
      <c r="DK16" s="77">
        <v>0</v>
      </c>
      <c r="DL16" s="50">
        <v>0</v>
      </c>
      <c r="DM16" s="125">
        <v>0</v>
      </c>
      <c r="DN16" s="77">
        <v>0</v>
      </c>
      <c r="DO16" s="77">
        <v>0</v>
      </c>
      <c r="DP16" s="50">
        <v>0</v>
      </c>
      <c r="DQ16" s="125">
        <v>0</v>
      </c>
      <c r="DR16" s="77">
        <v>0</v>
      </c>
      <c r="DS16" s="77">
        <v>0</v>
      </c>
      <c r="DT16" s="50">
        <v>0</v>
      </c>
      <c r="DU16" s="125">
        <v>0</v>
      </c>
      <c r="DV16" s="77">
        <v>0</v>
      </c>
      <c r="DW16" s="77">
        <v>0</v>
      </c>
      <c r="DX16" s="50">
        <v>0</v>
      </c>
      <c r="DY16" s="125">
        <v>0</v>
      </c>
      <c r="DZ16" s="77">
        <v>0</v>
      </c>
      <c r="EA16" s="77">
        <v>0</v>
      </c>
      <c r="EB16" s="50">
        <v>0</v>
      </c>
      <c r="EC16" s="130">
        <v>0</v>
      </c>
      <c r="ED16" s="77">
        <v>0</v>
      </c>
      <c r="EE16" s="77">
        <v>725284</v>
      </c>
      <c r="EF16" s="50">
        <v>0</v>
      </c>
      <c r="EG16" s="125">
        <v>0</v>
      </c>
      <c r="EH16" s="77">
        <v>0</v>
      </c>
      <c r="EI16" s="77">
        <v>0</v>
      </c>
      <c r="EJ16" s="50">
        <v>17853.715</v>
      </c>
      <c r="EK16" s="125">
        <v>0</v>
      </c>
      <c r="EL16" s="77">
        <v>5000</v>
      </c>
      <c r="EM16" s="77"/>
      <c r="EN16" s="50">
        <v>0</v>
      </c>
      <c r="EO16" s="125">
        <v>0</v>
      </c>
      <c r="EP16" s="77">
        <v>0</v>
      </c>
      <c r="EQ16" s="77">
        <v>0</v>
      </c>
      <c r="ER16" s="131">
        <v>0</v>
      </c>
      <c r="ES16" s="131">
        <v>0</v>
      </c>
      <c r="ET16" s="77">
        <v>0</v>
      </c>
      <c r="EU16" s="77">
        <v>135330</v>
      </c>
      <c r="EV16" s="59">
        <f>186000-3900+181</f>
        <v>182281</v>
      </c>
      <c r="EW16" s="131">
        <v>0</v>
      </c>
      <c r="EX16" s="77">
        <v>0</v>
      </c>
      <c r="EY16" s="77">
        <v>16250</v>
      </c>
      <c r="EZ16" s="50">
        <v>0</v>
      </c>
      <c r="FA16" s="131">
        <v>0</v>
      </c>
      <c r="FB16" s="77">
        <v>0</v>
      </c>
      <c r="FC16" s="77">
        <v>0</v>
      </c>
      <c r="FD16" s="50">
        <v>0</v>
      </c>
      <c r="FE16" s="131">
        <v>0</v>
      </c>
      <c r="FF16" s="77">
        <v>0</v>
      </c>
      <c r="FG16" s="77">
        <v>0</v>
      </c>
      <c r="FH16" s="60">
        <v>0</v>
      </c>
      <c r="FI16" s="179">
        <v>0</v>
      </c>
      <c r="FJ16" s="77">
        <v>0</v>
      </c>
      <c r="FK16" s="77">
        <v>0</v>
      </c>
      <c r="FL16" s="50"/>
      <c r="FM16" s="179">
        <v>0</v>
      </c>
      <c r="FN16" s="77">
        <v>0</v>
      </c>
      <c r="FO16" s="77">
        <v>0</v>
      </c>
      <c r="FR16" s="256">
        <f>+FR14/FR13</f>
        <v>0.8055555555555556</v>
      </c>
    </row>
    <row r="17" spans="1:171" ht="12.75">
      <c r="A17" s="52" t="s">
        <v>20</v>
      </c>
      <c r="B17" s="50">
        <f t="shared" si="9"/>
        <v>234206.016</v>
      </c>
      <c r="C17" s="50">
        <f t="shared" si="9"/>
        <v>240533.816</v>
      </c>
      <c r="D17" s="161">
        <f t="shared" si="9"/>
        <v>250301.21500000003</v>
      </c>
      <c r="E17" s="161">
        <f>J17+N17+R17+V17+Z17+AC17+AG17+AK17+AO17+AW17+BA17+BE17+BI17+BM17+BQ17+BU17+BY17+CC17+CG17+CK17+CO17+CR17+CV17+CZ17+DD17+DH17+DL17+DP17+DT17+DX17+EB17+EF17+EJ17+EN17+ER17+EV17+EZ17+FD17+FH17</f>
        <v>34206.016</v>
      </c>
      <c r="F17" s="50">
        <v>200000</v>
      </c>
      <c r="G17" s="106">
        <v>200000</v>
      </c>
      <c r="H17" s="77">
        <v>0</v>
      </c>
      <c r="I17" s="77">
        <v>0</v>
      </c>
      <c r="J17" s="50">
        <v>0</v>
      </c>
      <c r="K17" s="106">
        <v>0</v>
      </c>
      <c r="L17" s="110">
        <v>0</v>
      </c>
      <c r="M17" s="110">
        <v>0</v>
      </c>
      <c r="N17" s="50">
        <v>0</v>
      </c>
      <c r="O17" s="77">
        <v>0</v>
      </c>
      <c r="P17" s="110">
        <v>0</v>
      </c>
      <c r="Q17" s="110">
        <v>0</v>
      </c>
      <c r="R17" s="50">
        <v>0</v>
      </c>
      <c r="S17" s="114">
        <v>0</v>
      </c>
      <c r="T17" s="77"/>
      <c r="U17" s="77"/>
      <c r="V17" s="50">
        <v>0</v>
      </c>
      <c r="W17" s="50">
        <v>0</v>
      </c>
      <c r="X17" s="77">
        <v>247022.893</v>
      </c>
      <c r="Y17" s="77"/>
      <c r="Z17" s="50">
        <v>0</v>
      </c>
      <c r="AA17" s="114">
        <v>0</v>
      </c>
      <c r="AB17" s="77"/>
      <c r="AC17" s="114">
        <v>0</v>
      </c>
      <c r="AD17" s="114">
        <v>0</v>
      </c>
      <c r="AE17" s="134">
        <v>0</v>
      </c>
      <c r="AF17" s="77"/>
      <c r="AG17" s="50">
        <v>0</v>
      </c>
      <c r="AH17" s="123">
        <v>0</v>
      </c>
      <c r="AI17" s="77"/>
      <c r="AJ17" s="77"/>
      <c r="AK17" s="114">
        <v>0</v>
      </c>
      <c r="AL17" s="114">
        <v>0</v>
      </c>
      <c r="AM17" s="134">
        <v>0</v>
      </c>
      <c r="AN17" s="134">
        <v>0</v>
      </c>
      <c r="AO17" s="114">
        <v>0</v>
      </c>
      <c r="AP17" s="114">
        <v>0</v>
      </c>
      <c r="AQ17" s="134">
        <v>0</v>
      </c>
      <c r="AR17" s="134">
        <v>0</v>
      </c>
      <c r="AS17" s="50">
        <v>0</v>
      </c>
      <c r="AT17" s="130">
        <v>0</v>
      </c>
      <c r="AU17" s="183">
        <v>0</v>
      </c>
      <c r="AV17" s="183">
        <v>0</v>
      </c>
      <c r="AW17" s="50">
        <v>0</v>
      </c>
      <c r="AX17" s="114">
        <v>0</v>
      </c>
      <c r="AY17" s="77">
        <v>0</v>
      </c>
      <c r="AZ17" s="77">
        <v>0</v>
      </c>
      <c r="BA17" s="50">
        <v>0</v>
      </c>
      <c r="BB17" s="114">
        <v>0</v>
      </c>
      <c r="BC17" s="77">
        <v>0</v>
      </c>
      <c r="BD17" s="77">
        <v>0</v>
      </c>
      <c r="BE17" s="50">
        <v>0</v>
      </c>
      <c r="BF17" s="114">
        <v>0</v>
      </c>
      <c r="BG17" s="77">
        <v>0</v>
      </c>
      <c r="BH17" s="77">
        <v>0</v>
      </c>
      <c r="BI17" s="50">
        <v>0</v>
      </c>
      <c r="BJ17" s="114">
        <v>0</v>
      </c>
      <c r="BK17" s="77">
        <v>0</v>
      </c>
      <c r="BL17" s="77">
        <v>0</v>
      </c>
      <c r="BM17" s="50">
        <v>0</v>
      </c>
      <c r="BN17" s="114">
        <v>0</v>
      </c>
      <c r="BO17" s="77">
        <v>0</v>
      </c>
      <c r="BP17" s="77">
        <v>0</v>
      </c>
      <c r="BQ17" s="114">
        <v>0</v>
      </c>
      <c r="BR17" s="114">
        <v>0</v>
      </c>
      <c r="BS17" s="134">
        <v>0</v>
      </c>
      <c r="BT17" s="134">
        <v>0</v>
      </c>
      <c r="BU17" s="50">
        <v>0</v>
      </c>
      <c r="BV17" s="114">
        <v>0</v>
      </c>
      <c r="BW17" s="77">
        <v>0</v>
      </c>
      <c r="BX17" s="77">
        <v>0</v>
      </c>
      <c r="BY17" s="125">
        <v>0</v>
      </c>
      <c r="BZ17" s="125">
        <v>0</v>
      </c>
      <c r="CA17" s="77">
        <v>0</v>
      </c>
      <c r="CB17" s="77">
        <v>0</v>
      </c>
      <c r="CC17" s="125">
        <v>0</v>
      </c>
      <c r="CD17" s="125">
        <v>0</v>
      </c>
      <c r="CE17" s="77">
        <v>0</v>
      </c>
      <c r="CF17" s="77">
        <v>0</v>
      </c>
      <c r="CG17" s="50">
        <v>0</v>
      </c>
      <c r="CH17" s="114">
        <v>0</v>
      </c>
      <c r="CI17" s="77">
        <v>0</v>
      </c>
      <c r="CJ17" s="77">
        <v>0</v>
      </c>
      <c r="CK17" s="50">
        <v>0</v>
      </c>
      <c r="CL17" s="125">
        <v>0</v>
      </c>
      <c r="CM17" s="127"/>
      <c r="CN17" s="127"/>
      <c r="CO17" s="50">
        <v>0</v>
      </c>
      <c r="CP17" s="125">
        <v>0</v>
      </c>
      <c r="CQ17" s="77">
        <v>0</v>
      </c>
      <c r="CR17" s="125">
        <v>0</v>
      </c>
      <c r="CS17" s="125">
        <v>0</v>
      </c>
      <c r="CT17" s="77">
        <v>0</v>
      </c>
      <c r="CU17" s="77">
        <v>0</v>
      </c>
      <c r="CV17" s="50">
        <v>0</v>
      </c>
      <c r="CW17" s="125">
        <v>0</v>
      </c>
      <c r="CX17" s="77">
        <v>0</v>
      </c>
      <c r="CY17" s="77">
        <v>0</v>
      </c>
      <c r="CZ17" s="50">
        <v>0</v>
      </c>
      <c r="DA17" s="125">
        <v>0</v>
      </c>
      <c r="DB17" s="77">
        <v>0</v>
      </c>
      <c r="DC17" s="77">
        <v>0</v>
      </c>
      <c r="DD17" s="50">
        <v>34206.016</v>
      </c>
      <c r="DE17" s="114">
        <v>40533.816</v>
      </c>
      <c r="DF17" s="77">
        <v>3278.322</v>
      </c>
      <c r="DG17" s="77"/>
      <c r="DH17" s="125">
        <v>0</v>
      </c>
      <c r="DI17" s="125">
        <v>0</v>
      </c>
      <c r="DJ17" s="77">
        <v>0</v>
      </c>
      <c r="DK17" s="77">
        <v>0</v>
      </c>
      <c r="DL17" s="50">
        <v>0</v>
      </c>
      <c r="DM17" s="125">
        <v>0</v>
      </c>
      <c r="DN17" s="77">
        <v>0</v>
      </c>
      <c r="DO17" s="77">
        <v>0</v>
      </c>
      <c r="DP17" s="50">
        <v>0</v>
      </c>
      <c r="DQ17" s="125">
        <v>0</v>
      </c>
      <c r="DR17" s="77">
        <v>0</v>
      </c>
      <c r="DS17" s="77">
        <v>0</v>
      </c>
      <c r="DT17" s="50">
        <v>0</v>
      </c>
      <c r="DU17" s="125">
        <v>0</v>
      </c>
      <c r="DV17" s="77">
        <v>0</v>
      </c>
      <c r="DW17" s="77">
        <v>0</v>
      </c>
      <c r="DX17" s="50">
        <v>0</v>
      </c>
      <c r="DY17" s="125">
        <v>0</v>
      </c>
      <c r="DZ17" s="77">
        <v>0</v>
      </c>
      <c r="EA17" s="77">
        <v>0</v>
      </c>
      <c r="EB17" s="50">
        <v>0</v>
      </c>
      <c r="EC17" s="130">
        <v>0</v>
      </c>
      <c r="ED17" s="77">
        <v>0</v>
      </c>
      <c r="EE17" s="77">
        <v>0</v>
      </c>
      <c r="EF17" s="50">
        <v>0</v>
      </c>
      <c r="EG17" s="125">
        <v>0</v>
      </c>
      <c r="EH17" s="77">
        <v>0</v>
      </c>
      <c r="EI17" s="77">
        <v>0</v>
      </c>
      <c r="EJ17" s="50">
        <v>0</v>
      </c>
      <c r="EK17" s="125">
        <v>0</v>
      </c>
      <c r="EL17" s="77">
        <v>0</v>
      </c>
      <c r="EM17" s="77">
        <v>0</v>
      </c>
      <c r="EN17" s="50">
        <v>0</v>
      </c>
      <c r="EO17" s="125">
        <v>0</v>
      </c>
      <c r="EP17" s="77">
        <v>0</v>
      </c>
      <c r="EQ17" s="77">
        <v>0</v>
      </c>
      <c r="ER17" s="131">
        <v>0</v>
      </c>
      <c r="ES17" s="131">
        <v>0</v>
      </c>
      <c r="ET17" s="77">
        <v>0</v>
      </c>
      <c r="EU17" s="77">
        <v>0</v>
      </c>
      <c r="EV17" s="50">
        <v>0</v>
      </c>
      <c r="EW17" s="131">
        <v>0</v>
      </c>
      <c r="EX17" s="77">
        <v>0</v>
      </c>
      <c r="EY17" s="77">
        <v>0</v>
      </c>
      <c r="EZ17" s="50">
        <v>0</v>
      </c>
      <c r="FA17" s="131">
        <v>0</v>
      </c>
      <c r="FB17" s="77">
        <v>0</v>
      </c>
      <c r="FC17" s="77">
        <v>0</v>
      </c>
      <c r="FD17" s="50">
        <v>0</v>
      </c>
      <c r="FE17" s="131">
        <v>0</v>
      </c>
      <c r="FF17" s="77">
        <v>0</v>
      </c>
      <c r="FG17" s="77">
        <v>0</v>
      </c>
      <c r="FH17" s="60">
        <v>0</v>
      </c>
      <c r="FI17" s="179">
        <v>0</v>
      </c>
      <c r="FJ17" s="77">
        <v>0</v>
      </c>
      <c r="FK17" s="77">
        <v>0</v>
      </c>
      <c r="FL17" s="50"/>
      <c r="FM17" s="179">
        <v>0</v>
      </c>
      <c r="FN17" s="77">
        <v>0</v>
      </c>
      <c r="FO17" s="77">
        <v>0</v>
      </c>
    </row>
    <row r="18" spans="1:171" ht="12.75">
      <c r="A18" s="53" t="s">
        <v>21</v>
      </c>
      <c r="B18" s="51">
        <f aca="true" t="shared" si="10" ref="B18:Q18">SUM(B15:B17)</f>
        <v>13260995.04537</v>
      </c>
      <c r="C18" s="51">
        <f t="shared" si="10"/>
        <v>29464533.77</v>
      </c>
      <c r="D18" s="162">
        <f t="shared" si="10"/>
        <v>30539810.823999997</v>
      </c>
      <c r="E18" s="162">
        <f t="shared" si="10"/>
        <v>13813555.316370001</v>
      </c>
      <c r="F18" s="51">
        <f t="shared" si="10"/>
        <v>833297.776</v>
      </c>
      <c r="G18" s="107">
        <f t="shared" si="10"/>
        <v>1092695.704</v>
      </c>
      <c r="H18" s="78">
        <f t="shared" si="10"/>
        <v>1097221.8190000001</v>
      </c>
      <c r="I18" s="78">
        <f t="shared" si="10"/>
        <v>1492523</v>
      </c>
      <c r="J18" s="51">
        <f t="shared" si="10"/>
        <v>0</v>
      </c>
      <c r="K18" s="107">
        <f t="shared" si="10"/>
        <v>1478783.1830000002</v>
      </c>
      <c r="L18" s="111">
        <f t="shared" si="10"/>
        <v>1211082.7610000002</v>
      </c>
      <c r="M18" s="111">
        <f t="shared" si="10"/>
        <v>0</v>
      </c>
      <c r="N18" s="51">
        <f t="shared" si="10"/>
        <v>0</v>
      </c>
      <c r="O18" s="78">
        <f t="shared" si="10"/>
        <v>186373.732</v>
      </c>
      <c r="P18" s="111">
        <f t="shared" si="10"/>
        <v>146690.887</v>
      </c>
      <c r="Q18" s="111">
        <f t="shared" si="10"/>
        <v>154880</v>
      </c>
      <c r="R18" s="51">
        <f aca="true" t="shared" si="11" ref="R18:AB18">SUM(R15:R17)</f>
        <v>85926</v>
      </c>
      <c r="S18" s="107">
        <f t="shared" si="11"/>
        <v>60408</v>
      </c>
      <c r="T18" s="78">
        <f t="shared" si="11"/>
        <v>344379</v>
      </c>
      <c r="U18" s="78">
        <f>SUM(U15:U17)</f>
        <v>749917</v>
      </c>
      <c r="V18" s="51">
        <f t="shared" si="11"/>
        <v>0</v>
      </c>
      <c r="W18" s="51">
        <f t="shared" si="11"/>
        <v>1786965.934</v>
      </c>
      <c r="X18" s="78">
        <f t="shared" si="11"/>
        <v>1773601.362</v>
      </c>
      <c r="Y18" s="78">
        <f>SUM(Y15:Y17)</f>
        <v>2143672</v>
      </c>
      <c r="Z18" s="51">
        <f t="shared" si="11"/>
        <v>1172528.0891</v>
      </c>
      <c r="AA18" s="107">
        <f t="shared" si="11"/>
        <v>0</v>
      </c>
      <c r="AB18" s="78">
        <f t="shared" si="11"/>
        <v>1358000</v>
      </c>
      <c r="AC18" s="107">
        <f aca="true" t="shared" si="12" ref="AC18:BT18">SUM(AC15:AC17)</f>
        <v>0</v>
      </c>
      <c r="AD18" s="107">
        <f t="shared" si="12"/>
        <v>0</v>
      </c>
      <c r="AE18" s="111">
        <f t="shared" si="12"/>
        <v>0</v>
      </c>
      <c r="AF18" s="78">
        <f t="shared" si="12"/>
        <v>2610645</v>
      </c>
      <c r="AG18" s="51">
        <f t="shared" si="12"/>
        <v>475381.2324</v>
      </c>
      <c r="AH18" s="122">
        <f t="shared" si="12"/>
        <v>721958.0449999999</v>
      </c>
      <c r="AI18" s="78">
        <f t="shared" si="12"/>
        <v>590899.579</v>
      </c>
      <c r="AJ18" s="78">
        <f t="shared" si="12"/>
        <v>214765</v>
      </c>
      <c r="AK18" s="107">
        <f t="shared" si="12"/>
        <v>0</v>
      </c>
      <c r="AL18" s="107">
        <f t="shared" si="12"/>
        <v>0</v>
      </c>
      <c r="AM18" s="111">
        <f t="shared" si="12"/>
        <v>0</v>
      </c>
      <c r="AN18" s="111">
        <f t="shared" si="12"/>
        <v>0</v>
      </c>
      <c r="AO18" s="107">
        <f t="shared" si="12"/>
        <v>0</v>
      </c>
      <c r="AP18" s="107">
        <f t="shared" si="12"/>
        <v>0</v>
      </c>
      <c r="AQ18" s="111">
        <f t="shared" si="12"/>
        <v>279308</v>
      </c>
      <c r="AR18" s="111">
        <f t="shared" si="12"/>
        <v>293591</v>
      </c>
      <c r="AS18" s="51">
        <f>SUM(AS15:AS17)</f>
        <v>1143667</v>
      </c>
      <c r="AT18" s="107">
        <f>SUM(AT15:AT17)</f>
        <v>939116</v>
      </c>
      <c r="AU18" s="185">
        <f>SUM(AU15:AU17)</f>
        <v>179883</v>
      </c>
      <c r="AV18" s="185">
        <f>SUM(AV15:AV17)</f>
        <v>4541431</v>
      </c>
      <c r="AW18" s="51">
        <f t="shared" si="12"/>
        <v>0</v>
      </c>
      <c r="AX18" s="107">
        <f t="shared" si="12"/>
        <v>97500</v>
      </c>
      <c r="AY18" s="78">
        <f t="shared" si="12"/>
        <v>180750</v>
      </c>
      <c r="AZ18" s="78">
        <f t="shared" si="12"/>
        <v>205380</v>
      </c>
      <c r="BA18" s="51">
        <f t="shared" si="12"/>
        <v>2318551</v>
      </c>
      <c r="BB18" s="107">
        <f t="shared" si="12"/>
        <v>13167630</v>
      </c>
      <c r="BC18" s="78">
        <f t="shared" si="12"/>
        <v>12737125</v>
      </c>
      <c r="BD18" s="78">
        <f t="shared" si="12"/>
        <v>12493363</v>
      </c>
      <c r="BE18" s="51">
        <f t="shared" si="12"/>
        <v>0</v>
      </c>
      <c r="BF18" s="107">
        <f t="shared" si="12"/>
        <v>457935.987</v>
      </c>
      <c r="BG18" s="78">
        <f t="shared" si="12"/>
        <v>188473.161</v>
      </c>
      <c r="BH18" s="78">
        <f t="shared" si="12"/>
        <v>260362</v>
      </c>
      <c r="BI18" s="51">
        <f t="shared" si="12"/>
        <v>0</v>
      </c>
      <c r="BJ18" s="107">
        <f t="shared" si="12"/>
        <v>0</v>
      </c>
      <c r="BK18" s="78">
        <f t="shared" si="12"/>
        <v>32217.354</v>
      </c>
      <c r="BL18" s="78">
        <f t="shared" si="12"/>
        <v>71114</v>
      </c>
      <c r="BM18" s="51">
        <f t="shared" si="12"/>
        <v>6280576</v>
      </c>
      <c r="BN18" s="107">
        <f t="shared" si="12"/>
        <v>6792566</v>
      </c>
      <c r="BO18" s="78">
        <f t="shared" si="12"/>
        <v>5856110</v>
      </c>
      <c r="BP18" s="78">
        <f t="shared" si="12"/>
        <v>6040391</v>
      </c>
      <c r="BQ18" s="107">
        <f t="shared" si="12"/>
        <v>0</v>
      </c>
      <c r="BR18" s="107">
        <f t="shared" si="12"/>
        <v>0</v>
      </c>
      <c r="BS18" s="111">
        <f t="shared" si="12"/>
        <v>640455</v>
      </c>
      <c r="BT18" s="111">
        <f t="shared" si="12"/>
        <v>461979</v>
      </c>
      <c r="BU18" s="51">
        <f aca="true" t="shared" si="13" ref="BU18:CE18">SUM(BU15:BU17)</f>
        <v>6908.80476</v>
      </c>
      <c r="BV18" s="107">
        <f t="shared" si="13"/>
        <v>15585.935</v>
      </c>
      <c r="BW18" s="78">
        <f t="shared" si="13"/>
        <v>13033.548</v>
      </c>
      <c r="BX18" s="78">
        <f>SUM(BX15:BX17)</f>
        <v>18258</v>
      </c>
      <c r="BY18" s="107">
        <f t="shared" si="13"/>
        <v>130436.167</v>
      </c>
      <c r="BZ18" s="107">
        <f t="shared" si="13"/>
        <v>125089.979</v>
      </c>
      <c r="CA18" s="78">
        <f t="shared" si="13"/>
        <v>90489</v>
      </c>
      <c r="CB18" s="78">
        <f>SUM(CB15:CB17)</f>
        <v>137098</v>
      </c>
      <c r="CC18" s="107">
        <f t="shared" si="13"/>
        <v>0</v>
      </c>
      <c r="CD18" s="107">
        <f t="shared" si="13"/>
        <v>0</v>
      </c>
      <c r="CE18" s="78">
        <f t="shared" si="13"/>
        <v>55651</v>
      </c>
      <c r="CF18" s="78">
        <f>SUM(CF15:CF17)</f>
        <v>0</v>
      </c>
      <c r="CG18" s="51">
        <f>SUM(CG15:CG17)</f>
        <v>236079.506</v>
      </c>
      <c r="CH18" s="107">
        <f>SUM(CH15:CH17)</f>
        <v>320913.965</v>
      </c>
      <c r="CI18" s="78">
        <f>SUM(CI15:CI17)</f>
        <v>298603.646</v>
      </c>
      <c r="CJ18" s="78">
        <f>SUM(CJ15:CJ17)</f>
        <v>272016</v>
      </c>
      <c r="CK18" s="51">
        <f aca="true" t="shared" si="14" ref="CK18:DA18">SUM(CK15:CK17)</f>
        <v>0</v>
      </c>
      <c r="CL18" s="107">
        <f t="shared" si="14"/>
        <v>100731.522</v>
      </c>
      <c r="CM18" s="111">
        <f t="shared" si="14"/>
        <v>119849.038</v>
      </c>
      <c r="CN18" s="111">
        <f>SUM(CN15:CN17)</f>
        <v>76206</v>
      </c>
      <c r="CO18" s="51">
        <f t="shared" si="14"/>
        <v>0</v>
      </c>
      <c r="CP18" s="107">
        <f t="shared" si="14"/>
        <v>85777.502</v>
      </c>
      <c r="CQ18" s="78">
        <f t="shared" si="14"/>
        <v>0</v>
      </c>
      <c r="CR18" s="107">
        <f t="shared" si="14"/>
        <v>0</v>
      </c>
      <c r="CS18" s="107">
        <f t="shared" si="14"/>
        <v>0</v>
      </c>
      <c r="CT18" s="78">
        <f t="shared" si="14"/>
        <v>0</v>
      </c>
      <c r="CU18" s="78">
        <f>SUM(CU15:CU17)</f>
        <v>239501</v>
      </c>
      <c r="CV18" s="51">
        <f t="shared" si="14"/>
        <v>414807.406</v>
      </c>
      <c r="CW18" s="107">
        <f t="shared" si="14"/>
        <v>387752.667</v>
      </c>
      <c r="CX18" s="78">
        <f t="shared" si="14"/>
        <v>192752.056</v>
      </c>
      <c r="CY18" s="78">
        <f>SUM(CY15:CY17)</f>
        <v>777</v>
      </c>
      <c r="CZ18" s="51">
        <f t="shared" si="14"/>
        <v>0</v>
      </c>
      <c r="DA18" s="107">
        <f t="shared" si="14"/>
        <v>123528</v>
      </c>
      <c r="DB18" s="78">
        <f aca="true" t="shared" si="15" ref="DB18:DO18">SUM(DB15:DB17)</f>
        <v>72359</v>
      </c>
      <c r="DC18" s="78">
        <f t="shared" si="15"/>
        <v>231145</v>
      </c>
      <c r="DD18" s="51">
        <f t="shared" si="15"/>
        <v>361282.07711</v>
      </c>
      <c r="DE18" s="107">
        <f t="shared" si="15"/>
        <v>308219.746</v>
      </c>
      <c r="DF18" s="78">
        <f t="shared" si="15"/>
        <v>514653.998</v>
      </c>
      <c r="DG18" s="78">
        <f t="shared" si="15"/>
        <v>407461</v>
      </c>
      <c r="DH18" s="107">
        <f t="shared" si="15"/>
        <v>0</v>
      </c>
      <c r="DI18" s="107">
        <f t="shared" si="15"/>
        <v>0</v>
      </c>
      <c r="DJ18" s="78">
        <f t="shared" si="15"/>
        <v>0</v>
      </c>
      <c r="DK18" s="78">
        <f t="shared" si="15"/>
        <v>0</v>
      </c>
      <c r="DL18" s="51">
        <f t="shared" si="15"/>
        <v>76876.287</v>
      </c>
      <c r="DM18" s="107">
        <f t="shared" si="15"/>
        <v>0</v>
      </c>
      <c r="DN18" s="78">
        <f t="shared" si="15"/>
        <v>0</v>
      </c>
      <c r="DO18" s="78">
        <f t="shared" si="15"/>
        <v>0</v>
      </c>
      <c r="DP18" s="51">
        <f aca="true" t="shared" si="16" ref="DP18:FJ18">SUM(DP15:DP17)</f>
        <v>0</v>
      </c>
      <c r="DQ18" s="107">
        <f t="shared" si="16"/>
        <v>26870</v>
      </c>
      <c r="DR18" s="78">
        <f t="shared" si="16"/>
        <v>26870</v>
      </c>
      <c r="DS18" s="78">
        <f>SUM(DS15:DS17)</f>
        <v>0</v>
      </c>
      <c r="DT18" s="51">
        <f t="shared" si="16"/>
        <v>0</v>
      </c>
      <c r="DU18" s="107">
        <f t="shared" si="16"/>
        <v>205039.05</v>
      </c>
      <c r="DV18" s="78">
        <f t="shared" si="16"/>
        <v>204366.35</v>
      </c>
      <c r="DW18" s="78">
        <f>SUM(DW15:DW17)</f>
        <v>0</v>
      </c>
      <c r="DX18" s="51">
        <f t="shared" si="16"/>
        <v>0</v>
      </c>
      <c r="DY18" s="107">
        <f t="shared" si="16"/>
        <v>100530.716</v>
      </c>
      <c r="DZ18" s="78">
        <f t="shared" si="16"/>
        <v>155940.542</v>
      </c>
      <c r="EA18" s="78">
        <f>SUM(EA15:EA17)</f>
        <v>39939</v>
      </c>
      <c r="EB18" s="51">
        <f t="shared" si="16"/>
        <v>0</v>
      </c>
      <c r="EC18" s="107">
        <f t="shared" si="16"/>
        <v>678115.598</v>
      </c>
      <c r="ED18" s="78">
        <f t="shared" si="16"/>
        <v>866507.018</v>
      </c>
      <c r="EE18" s="78">
        <f>SUM(EE15:EE17)</f>
        <v>970551</v>
      </c>
      <c r="EF18" s="51">
        <f t="shared" si="16"/>
        <v>327468.777</v>
      </c>
      <c r="EG18" s="107">
        <f t="shared" si="16"/>
        <v>494890.809</v>
      </c>
      <c r="EH18" s="78">
        <f t="shared" si="16"/>
        <v>744796.352</v>
      </c>
      <c r="EI18" s="78">
        <f>SUM(EI15:EI17)</f>
        <v>861824</v>
      </c>
      <c r="EJ18" s="51">
        <f t="shared" si="16"/>
        <v>64022.854999999996</v>
      </c>
      <c r="EK18" s="107">
        <f t="shared" si="16"/>
        <v>47837.445</v>
      </c>
      <c r="EL18" s="78">
        <f t="shared" si="16"/>
        <v>35559.331</v>
      </c>
      <c r="EM18" s="78">
        <f>SUM(EM15:EM17)</f>
        <v>72945</v>
      </c>
      <c r="EN18" s="51">
        <f t="shared" si="16"/>
        <v>124553.481</v>
      </c>
      <c r="EO18" s="107">
        <f t="shared" si="16"/>
        <v>112231.238</v>
      </c>
      <c r="EP18" s="78">
        <f t="shared" si="16"/>
        <v>111607.998</v>
      </c>
      <c r="EQ18" s="78">
        <f aca="true" t="shared" si="17" ref="EQ18:EW18">SUM(EQ15:EQ17)</f>
        <v>0</v>
      </c>
      <c r="ER18" s="107">
        <f t="shared" si="17"/>
        <v>0</v>
      </c>
      <c r="ES18" s="107">
        <f t="shared" si="17"/>
        <v>0</v>
      </c>
      <c r="ET18" s="78">
        <f t="shared" si="17"/>
        <v>60180.631</v>
      </c>
      <c r="EU18" s="78">
        <f t="shared" si="17"/>
        <v>326710</v>
      </c>
      <c r="EV18" s="51">
        <f t="shared" si="17"/>
        <v>302424.587</v>
      </c>
      <c r="EW18" s="107">
        <f t="shared" si="17"/>
        <v>245389.529</v>
      </c>
      <c r="EX18" s="78">
        <f t="shared" si="16"/>
        <v>339829</v>
      </c>
      <c r="EY18" s="78">
        <f>SUM(EY15:EY17)</f>
        <v>512237</v>
      </c>
      <c r="EZ18" s="51">
        <f>SUM(EZ15:EZ17)</f>
        <v>0</v>
      </c>
      <c r="FA18" s="107">
        <f>SUM(FA15:FA17)</f>
        <v>243213.484</v>
      </c>
      <c r="FB18" s="78">
        <f t="shared" si="16"/>
        <v>200448.393</v>
      </c>
      <c r="FC18" s="78">
        <f>SUM(FC15:FC17)</f>
        <v>0</v>
      </c>
      <c r="FD18" s="51">
        <f t="shared" si="16"/>
        <v>49875</v>
      </c>
      <c r="FE18" s="107">
        <f t="shared" si="16"/>
        <v>0</v>
      </c>
      <c r="FF18" s="78">
        <f t="shared" si="16"/>
        <v>0</v>
      </c>
      <c r="FG18" s="78">
        <f>SUM(FG15:FG17)</f>
        <v>0</v>
      </c>
      <c r="FH18" s="61">
        <f t="shared" si="16"/>
        <v>1385858.047</v>
      </c>
      <c r="FI18" s="107">
        <f t="shared" si="16"/>
        <v>0</v>
      </c>
      <c r="FJ18" s="78">
        <f t="shared" si="16"/>
        <v>0</v>
      </c>
      <c r="FK18" s="78">
        <f>SUM(FK15:FK17)</f>
        <v>2000806</v>
      </c>
      <c r="FL18" s="51"/>
      <c r="FM18" s="107">
        <f>SUM(FM15:FM17)</f>
        <v>0</v>
      </c>
      <c r="FN18" s="78">
        <f>SUM(FN15:FN17)</f>
        <v>0</v>
      </c>
      <c r="FO18" s="78">
        <f>SUM(FO15:FO17)</f>
        <v>101033</v>
      </c>
    </row>
    <row r="19" spans="1:173" ht="12.75">
      <c r="A19" s="53" t="s">
        <v>22</v>
      </c>
      <c r="B19" s="50"/>
      <c r="C19" s="50"/>
      <c r="D19" s="163"/>
      <c r="E19" s="163"/>
      <c r="F19" s="50"/>
      <c r="G19" s="106"/>
      <c r="H19" s="77"/>
      <c r="I19" s="77"/>
      <c r="J19" s="50"/>
      <c r="K19" s="106"/>
      <c r="L19" s="110"/>
      <c r="M19" s="110"/>
      <c r="N19" s="50"/>
      <c r="O19" s="78"/>
      <c r="P19" s="110"/>
      <c r="Q19" s="110"/>
      <c r="R19" s="50"/>
      <c r="S19" s="114"/>
      <c r="T19" s="77"/>
      <c r="U19" s="77"/>
      <c r="V19" s="50"/>
      <c r="W19" s="50"/>
      <c r="X19" s="77"/>
      <c r="Y19" s="77"/>
      <c r="Z19" s="50"/>
      <c r="AA19" s="114"/>
      <c r="AB19" s="77"/>
      <c r="AC19" s="114"/>
      <c r="AD19" s="114"/>
      <c r="AE19" s="134"/>
      <c r="AF19" s="77"/>
      <c r="AG19" s="50"/>
      <c r="AH19" s="123"/>
      <c r="AI19" s="77"/>
      <c r="AJ19" s="77"/>
      <c r="AK19" s="114"/>
      <c r="AL19" s="114"/>
      <c r="AM19" s="134"/>
      <c r="AN19" s="134"/>
      <c r="AO19" s="114"/>
      <c r="AP19" s="114"/>
      <c r="AQ19" s="134"/>
      <c r="AR19" s="134"/>
      <c r="AS19" s="50"/>
      <c r="AT19" s="130"/>
      <c r="AU19" s="183"/>
      <c r="AV19" s="183"/>
      <c r="AW19" s="50"/>
      <c r="AX19" s="114"/>
      <c r="AY19" s="77"/>
      <c r="AZ19" s="77"/>
      <c r="BA19" s="50"/>
      <c r="BB19" s="114"/>
      <c r="BC19" s="77"/>
      <c r="BD19" s="77"/>
      <c r="BE19" s="50"/>
      <c r="BF19" s="114"/>
      <c r="BG19" s="77"/>
      <c r="BH19" s="77"/>
      <c r="BI19" s="50"/>
      <c r="BJ19" s="114"/>
      <c r="BK19" s="77"/>
      <c r="BL19" s="77"/>
      <c r="BM19" s="50"/>
      <c r="BN19" s="114"/>
      <c r="BO19" s="77"/>
      <c r="BP19" s="77"/>
      <c r="BQ19" s="114"/>
      <c r="BR19" s="114"/>
      <c r="BS19" s="134"/>
      <c r="BT19" s="134"/>
      <c r="BU19" s="50"/>
      <c r="BV19" s="114"/>
      <c r="BW19" s="77"/>
      <c r="BX19" s="77"/>
      <c r="BY19" s="125"/>
      <c r="BZ19" s="125"/>
      <c r="CA19" s="77"/>
      <c r="CB19" s="77"/>
      <c r="CC19" s="125"/>
      <c r="CD19" s="125"/>
      <c r="CE19" s="77"/>
      <c r="CF19" s="77"/>
      <c r="CG19" s="50"/>
      <c r="CH19" s="114"/>
      <c r="CI19" s="77"/>
      <c r="CJ19" s="77"/>
      <c r="CK19" s="50"/>
      <c r="CL19" s="125"/>
      <c r="CM19" s="127"/>
      <c r="CN19" s="127"/>
      <c r="CO19" s="50"/>
      <c r="CP19" s="125"/>
      <c r="CQ19" s="77"/>
      <c r="CR19" s="125"/>
      <c r="CS19" s="125"/>
      <c r="CT19" s="77"/>
      <c r="CU19" s="77"/>
      <c r="CV19" s="50"/>
      <c r="CW19" s="125"/>
      <c r="CX19" s="77"/>
      <c r="CY19" s="77"/>
      <c r="CZ19" s="50"/>
      <c r="DA19" s="125"/>
      <c r="DB19" s="77"/>
      <c r="DC19" s="77"/>
      <c r="DD19" s="50"/>
      <c r="DE19" s="114"/>
      <c r="DF19" s="77"/>
      <c r="DG19" s="77"/>
      <c r="DH19" s="125"/>
      <c r="DI19" s="125"/>
      <c r="DJ19" s="77"/>
      <c r="DK19" s="77"/>
      <c r="DL19" s="50"/>
      <c r="DM19" s="125"/>
      <c r="DN19" s="77"/>
      <c r="DO19" s="77"/>
      <c r="DP19" s="50"/>
      <c r="DQ19" s="125"/>
      <c r="DR19" s="77"/>
      <c r="DS19" s="77"/>
      <c r="DT19" s="50"/>
      <c r="DU19" s="125"/>
      <c r="DV19" s="77"/>
      <c r="DW19" s="77"/>
      <c r="DX19" s="50"/>
      <c r="DY19" s="125"/>
      <c r="DZ19" s="77"/>
      <c r="EA19" s="77"/>
      <c r="EB19" s="50"/>
      <c r="EC19" s="130"/>
      <c r="ED19" s="77"/>
      <c r="EE19" s="77"/>
      <c r="EF19" s="50"/>
      <c r="EG19" s="125"/>
      <c r="EH19" s="77"/>
      <c r="EI19" s="77"/>
      <c r="EJ19" s="50"/>
      <c r="EK19" s="125"/>
      <c r="EL19" s="77"/>
      <c r="EM19" s="77"/>
      <c r="EN19" s="50"/>
      <c r="EO19" s="125"/>
      <c r="EP19" s="77"/>
      <c r="EQ19" s="77"/>
      <c r="ER19" s="131"/>
      <c r="ES19" s="131"/>
      <c r="ET19" s="77"/>
      <c r="EU19" s="77"/>
      <c r="EV19" s="50"/>
      <c r="EW19" s="131"/>
      <c r="EX19" s="77"/>
      <c r="EY19" s="77"/>
      <c r="EZ19" s="50"/>
      <c r="FA19" s="131"/>
      <c r="FB19" s="77"/>
      <c r="FC19" s="77"/>
      <c r="FD19" s="50"/>
      <c r="FE19" s="131"/>
      <c r="FF19" s="77"/>
      <c r="FG19" s="77"/>
      <c r="FH19" s="60"/>
      <c r="FI19" s="179"/>
      <c r="FJ19" s="77"/>
      <c r="FK19" s="77"/>
      <c r="FL19" s="50"/>
      <c r="FM19" s="179"/>
      <c r="FN19" s="77"/>
      <c r="FO19" s="77"/>
      <c r="FQ19" t="s">
        <v>148</v>
      </c>
    </row>
    <row r="20" spans="1:173" ht="12.75">
      <c r="A20" s="52" t="s">
        <v>23</v>
      </c>
      <c r="B20" s="50">
        <f aca="true" t="shared" si="18" ref="B20:D23">F20+J20+N20+R20+V20+Z20+AC20+AG20+AK20+AO20+AW20+BA20+BE20+BI20+BM20+BQ20+BU20+BY20+CC20+CG20+CK20+CO20+CR20+CV20+CZ20+DD20+DH20+DL20+DP20+DT20+DX20+EB20+EF20+EJ20+EN20+ER20+EV20+EZ20+FD20</f>
        <v>4993295</v>
      </c>
      <c r="C20" s="50">
        <f t="shared" si="18"/>
        <v>7979176</v>
      </c>
      <c r="D20" s="161">
        <f t="shared" si="18"/>
        <v>9266674</v>
      </c>
      <c r="E20" s="161">
        <f>J20+N20+R20+V20+Z20+AC20+AG20+AK20+AO20+AW20+BA20+BE20+BI20+BM20+BQ20+BU20+BY20+CC20+CG20+CK20+CO20+CR20+CV20+CZ20+DD20+DH20+DL20+DP20+DT20+DX20+EB20+EF20+EJ20+EN20+ER20+EV20+EZ20+FD20+FH20</f>
        <v>4902295</v>
      </c>
      <c r="F20" s="50">
        <v>166000</v>
      </c>
      <c r="G20" s="106">
        <v>326000</v>
      </c>
      <c r="H20" s="77">
        <v>326000</v>
      </c>
      <c r="I20" s="77">
        <v>326000</v>
      </c>
      <c r="J20" s="50">
        <v>0</v>
      </c>
      <c r="K20" s="106">
        <v>154500</v>
      </c>
      <c r="L20" s="110">
        <v>154500</v>
      </c>
      <c r="M20" s="110"/>
      <c r="N20" s="50">
        <v>0</v>
      </c>
      <c r="O20" s="77">
        <v>180000</v>
      </c>
      <c r="P20" s="110">
        <v>180000</v>
      </c>
      <c r="Q20" s="110">
        <v>180000</v>
      </c>
      <c r="R20" s="50">
        <v>168000</v>
      </c>
      <c r="S20" s="114">
        <v>168000</v>
      </c>
      <c r="T20" s="77">
        <v>152639</v>
      </c>
      <c r="U20" s="77">
        <v>168000</v>
      </c>
      <c r="V20" s="50">
        <v>0</v>
      </c>
      <c r="W20" s="50">
        <v>80000</v>
      </c>
      <c r="X20" s="77">
        <v>80000</v>
      </c>
      <c r="Y20" s="77">
        <v>80000</v>
      </c>
      <c r="Z20" s="50">
        <v>155000</v>
      </c>
      <c r="AA20" s="114">
        <v>0</v>
      </c>
      <c r="AB20" s="77">
        <v>155000</v>
      </c>
      <c r="AC20" s="114">
        <v>0</v>
      </c>
      <c r="AD20" s="114">
        <v>0</v>
      </c>
      <c r="AE20" s="134">
        <v>0</v>
      </c>
      <c r="AF20" s="77">
        <v>155000</v>
      </c>
      <c r="AG20" s="50">
        <v>100000</v>
      </c>
      <c r="AH20" s="123">
        <v>100000</v>
      </c>
      <c r="AI20" s="77">
        <v>100000</v>
      </c>
      <c r="AJ20" s="77">
        <v>100000</v>
      </c>
      <c r="AK20" s="114">
        <v>0</v>
      </c>
      <c r="AL20" s="114">
        <v>0</v>
      </c>
      <c r="AM20" s="134">
        <v>0</v>
      </c>
      <c r="AN20" s="134">
        <v>0</v>
      </c>
      <c r="AO20" s="114">
        <v>0</v>
      </c>
      <c r="AP20" s="114">
        <v>0</v>
      </c>
      <c r="AQ20" s="134">
        <v>50000</v>
      </c>
      <c r="AR20" s="134">
        <v>50000</v>
      </c>
      <c r="AS20" s="50">
        <v>31500</v>
      </c>
      <c r="AT20" s="130">
        <v>31500</v>
      </c>
      <c r="AU20" s="183">
        <v>31500</v>
      </c>
      <c r="AV20" s="183">
        <v>41500</v>
      </c>
      <c r="AW20" s="50">
        <v>0</v>
      </c>
      <c r="AX20" s="114">
        <v>1350</v>
      </c>
      <c r="AY20" s="77">
        <v>900</v>
      </c>
      <c r="AZ20" s="77">
        <v>900</v>
      </c>
      <c r="BA20" s="50">
        <v>2135843</v>
      </c>
      <c r="BB20" s="114">
        <v>2429128</v>
      </c>
      <c r="BC20" s="77">
        <v>2910353</v>
      </c>
      <c r="BD20" s="77">
        <v>3439967</v>
      </c>
      <c r="BE20" s="50">
        <v>0</v>
      </c>
      <c r="BF20" s="114">
        <v>160900</v>
      </c>
      <c r="BG20" s="77">
        <v>160000</v>
      </c>
      <c r="BH20" s="77">
        <v>160000</v>
      </c>
      <c r="BI20" s="50">
        <v>0</v>
      </c>
      <c r="BJ20" s="114">
        <v>0</v>
      </c>
      <c r="BK20" s="77">
        <v>150000</v>
      </c>
      <c r="BL20" s="77">
        <v>150000</v>
      </c>
      <c r="BM20" s="50">
        <v>1149874</v>
      </c>
      <c r="BN20" s="114">
        <v>2600000</v>
      </c>
      <c r="BO20" s="77">
        <v>2600000</v>
      </c>
      <c r="BP20" s="77">
        <v>2600000</v>
      </c>
      <c r="BQ20" s="114">
        <v>0</v>
      </c>
      <c r="BR20" s="114">
        <v>0</v>
      </c>
      <c r="BS20" s="134">
        <v>5000</v>
      </c>
      <c r="BT20" s="134">
        <v>5000</v>
      </c>
      <c r="BU20" s="50">
        <v>155000</v>
      </c>
      <c r="BV20" s="114">
        <v>155000</v>
      </c>
      <c r="BW20" s="77">
        <v>155000</v>
      </c>
      <c r="BX20" s="77">
        <v>155000</v>
      </c>
      <c r="BY20" s="125">
        <v>11000</v>
      </c>
      <c r="BZ20" s="125">
        <v>11000</v>
      </c>
      <c r="CA20" s="77">
        <v>11000</v>
      </c>
      <c r="CB20" s="77">
        <v>11000</v>
      </c>
      <c r="CC20" s="125">
        <v>0</v>
      </c>
      <c r="CD20" s="125">
        <v>0</v>
      </c>
      <c r="CE20" s="77">
        <v>166000</v>
      </c>
      <c r="CF20" s="77"/>
      <c r="CG20" s="50">
        <v>120000</v>
      </c>
      <c r="CH20" s="114">
        <v>120000</v>
      </c>
      <c r="CI20" s="77">
        <v>120000</v>
      </c>
      <c r="CJ20" s="77">
        <v>120000</v>
      </c>
      <c r="CK20" s="50">
        <v>0</v>
      </c>
      <c r="CL20" s="125">
        <v>75445</v>
      </c>
      <c r="CM20" s="127">
        <v>75445</v>
      </c>
      <c r="CN20" s="127">
        <v>75445</v>
      </c>
      <c r="CO20" s="50">
        <v>0</v>
      </c>
      <c r="CP20" s="125">
        <v>2016</v>
      </c>
      <c r="CQ20" s="77">
        <v>0</v>
      </c>
      <c r="CR20" s="125">
        <v>0</v>
      </c>
      <c r="CS20" s="125">
        <v>0</v>
      </c>
      <c r="CT20" s="77">
        <v>0</v>
      </c>
      <c r="CU20" s="77">
        <v>2016</v>
      </c>
      <c r="CV20" s="50">
        <v>1500</v>
      </c>
      <c r="CW20" s="125">
        <v>1500</v>
      </c>
      <c r="CX20" s="77">
        <v>1500</v>
      </c>
      <c r="CY20" s="77">
        <v>1500</v>
      </c>
      <c r="CZ20" s="50">
        <v>0</v>
      </c>
      <c r="DA20" s="125">
        <v>52259</v>
      </c>
      <c r="DB20" s="77">
        <v>52259</v>
      </c>
      <c r="DC20" s="77">
        <v>3000</v>
      </c>
      <c r="DD20" s="50">
        <v>100000</v>
      </c>
      <c r="DE20" s="114">
        <v>100000</v>
      </c>
      <c r="DF20" s="77">
        <v>100000</v>
      </c>
      <c r="DG20" s="77">
        <v>100000</v>
      </c>
      <c r="DH20" s="125">
        <v>0</v>
      </c>
      <c r="DI20" s="125">
        <v>0</v>
      </c>
      <c r="DJ20" s="77">
        <v>0</v>
      </c>
      <c r="DK20" s="77">
        <v>0</v>
      </c>
      <c r="DL20" s="50">
        <v>5000</v>
      </c>
      <c r="DM20" s="125">
        <v>0</v>
      </c>
      <c r="DN20" s="77">
        <v>0</v>
      </c>
      <c r="DO20" s="77">
        <v>0</v>
      </c>
      <c r="DP20" s="50">
        <v>0</v>
      </c>
      <c r="DQ20" s="125">
        <v>166000</v>
      </c>
      <c r="DR20" s="77">
        <v>166000</v>
      </c>
      <c r="DS20" s="77">
        <v>166000</v>
      </c>
      <c r="DT20" s="50">
        <v>0</v>
      </c>
      <c r="DU20" s="125">
        <v>10000</v>
      </c>
      <c r="DV20" s="77">
        <v>10000</v>
      </c>
      <c r="DW20" s="77"/>
      <c r="DX20" s="50">
        <v>0</v>
      </c>
      <c r="DY20" s="125">
        <v>5000</v>
      </c>
      <c r="DZ20" s="77">
        <v>5000</v>
      </c>
      <c r="EA20" s="77">
        <v>5000</v>
      </c>
      <c r="EB20" s="50">
        <v>0</v>
      </c>
      <c r="EC20" s="130">
        <v>320000</v>
      </c>
      <c r="ED20" s="77">
        <v>320000</v>
      </c>
      <c r="EE20" s="77">
        <v>320000</v>
      </c>
      <c r="EF20" s="50">
        <v>299478</v>
      </c>
      <c r="EG20" s="125">
        <v>299478</v>
      </c>
      <c r="EH20" s="77">
        <v>299478</v>
      </c>
      <c r="EI20" s="77">
        <v>299478</v>
      </c>
      <c r="EJ20" s="50">
        <v>154500</v>
      </c>
      <c r="EK20" s="125">
        <v>154500</v>
      </c>
      <c r="EL20" s="77">
        <v>154500</v>
      </c>
      <c r="EM20" s="77">
        <v>154500</v>
      </c>
      <c r="EN20" s="50">
        <v>2100</v>
      </c>
      <c r="EO20" s="125">
        <v>2100</v>
      </c>
      <c r="EP20" s="77">
        <v>2100</v>
      </c>
      <c r="EQ20" s="77"/>
      <c r="ER20" s="131">
        <v>0</v>
      </c>
      <c r="ES20" s="131">
        <v>0</v>
      </c>
      <c r="ET20" s="77">
        <v>179000</v>
      </c>
      <c r="EU20" s="77">
        <v>179000</v>
      </c>
      <c r="EV20" s="50">
        <v>150000</v>
      </c>
      <c r="EW20" s="131">
        <v>150000</v>
      </c>
      <c r="EX20" s="77">
        <v>150000</v>
      </c>
      <c r="EY20" s="77">
        <v>150000</v>
      </c>
      <c r="EZ20" s="50">
        <v>0</v>
      </c>
      <c r="FA20" s="131">
        <v>155000</v>
      </c>
      <c r="FB20" s="77">
        <v>155000</v>
      </c>
      <c r="FC20" s="77"/>
      <c r="FD20" s="50">
        <v>120000</v>
      </c>
      <c r="FE20" s="131">
        <v>0</v>
      </c>
      <c r="FF20" s="77">
        <v>120000</v>
      </c>
      <c r="FG20" s="77"/>
      <c r="FH20" s="60">
        <v>75000</v>
      </c>
      <c r="FI20" s="179">
        <v>0</v>
      </c>
      <c r="FJ20" s="77">
        <v>0</v>
      </c>
      <c r="FK20" s="77">
        <v>75000</v>
      </c>
      <c r="FL20" s="50"/>
      <c r="FM20" s="179">
        <v>0</v>
      </c>
      <c r="FN20" s="77">
        <v>0</v>
      </c>
      <c r="FO20" s="77">
        <f>208000+52000</f>
        <v>260000</v>
      </c>
      <c r="FQ20" t="s">
        <v>149</v>
      </c>
    </row>
    <row r="21" spans="1:173" s="119" customFormat="1" ht="12.75">
      <c r="A21" s="115" t="s">
        <v>24</v>
      </c>
      <c r="B21" s="140">
        <f t="shared" si="18"/>
        <v>116276.77669</v>
      </c>
      <c r="C21" s="140">
        <f t="shared" si="18"/>
        <v>1862058.5380000002</v>
      </c>
      <c r="D21" s="164">
        <f t="shared" si="18"/>
        <v>2060407.378</v>
      </c>
      <c r="E21" s="164">
        <f>J21+N21+R21+V21+Z21+AC21+AG21+AK21+AO21+AW21+BA21+BE21+BI21+BM21+BQ21+BU21+BY21+CC21+CG21+CK21+CO21+CR21+CV21+CZ21+DD21+DH21+DL21+DP21+DT21+DX21+EB21+EF21+EJ21+EN21+ER21+EV21+EZ21+FD21+FH21</f>
        <v>674010.63269</v>
      </c>
      <c r="F21" s="116">
        <v>-240340.026</v>
      </c>
      <c r="G21" s="117">
        <v>139975.513</v>
      </c>
      <c r="H21" s="118">
        <v>93725.626</v>
      </c>
      <c r="I21" s="118">
        <v>160517</v>
      </c>
      <c r="J21" s="116">
        <v>0</v>
      </c>
      <c r="K21" s="117">
        <v>95018.213</v>
      </c>
      <c r="L21" s="118">
        <v>151467.593</v>
      </c>
      <c r="M21" s="118"/>
      <c r="N21" s="116">
        <v>0</v>
      </c>
      <c r="O21" s="135">
        <v>-133806.965</v>
      </c>
      <c r="P21" s="118">
        <v>6925.809</v>
      </c>
      <c r="Q21" s="118">
        <v>-24095</v>
      </c>
      <c r="R21" s="116">
        <v>14363</v>
      </c>
      <c r="S21" s="117">
        <v>9322</v>
      </c>
      <c r="T21" s="118">
        <v>9675</v>
      </c>
      <c r="U21" s="118">
        <v>2074</v>
      </c>
      <c r="V21" s="116">
        <v>0</v>
      </c>
      <c r="W21" s="116">
        <v>102512.39</v>
      </c>
      <c r="X21" s="118">
        <v>109347</v>
      </c>
      <c r="Y21" s="118">
        <v>139413</v>
      </c>
      <c r="Z21" s="116">
        <v>0</v>
      </c>
      <c r="AA21" s="117">
        <v>0</v>
      </c>
      <c r="AB21" s="118">
        <v>61818</v>
      </c>
      <c r="AC21" s="117">
        <v>0</v>
      </c>
      <c r="AD21" s="117">
        <v>0</v>
      </c>
      <c r="AE21" s="118">
        <v>0</v>
      </c>
      <c r="AF21" s="118">
        <v>89697</v>
      </c>
      <c r="AG21" s="116">
        <v>18193.51532</v>
      </c>
      <c r="AH21" s="117">
        <v>11027.391</v>
      </c>
      <c r="AI21" s="118">
        <v>11809.922</v>
      </c>
      <c r="AJ21" s="118">
        <v>190</v>
      </c>
      <c r="AK21" s="117">
        <v>0</v>
      </c>
      <c r="AL21" s="117">
        <v>0</v>
      </c>
      <c r="AM21" s="118">
        <v>0</v>
      </c>
      <c r="AN21" s="118">
        <v>0</v>
      </c>
      <c r="AO21" s="117">
        <v>0</v>
      </c>
      <c r="AP21" s="117">
        <v>0</v>
      </c>
      <c r="AQ21" s="118">
        <v>140681</v>
      </c>
      <c r="AR21" s="118">
        <v>3256</v>
      </c>
      <c r="AS21" s="116">
        <v>34865</v>
      </c>
      <c r="AT21" s="117">
        <v>16693</v>
      </c>
      <c r="AU21" s="189">
        <v>21580</v>
      </c>
      <c r="AV21" s="189">
        <v>-485039</v>
      </c>
      <c r="AW21" s="116">
        <v>0</v>
      </c>
      <c r="AX21" s="117">
        <v>1005</v>
      </c>
      <c r="AY21" s="118">
        <v>4500</v>
      </c>
      <c r="AZ21" s="118">
        <v>58444</v>
      </c>
      <c r="BA21" s="116">
        <v>154038</v>
      </c>
      <c r="BB21" s="117">
        <v>94938</v>
      </c>
      <c r="BC21" s="118">
        <v>54691</v>
      </c>
      <c r="BD21" s="118">
        <v>64670</v>
      </c>
      <c r="BE21" s="116">
        <v>0</v>
      </c>
      <c r="BF21" s="117">
        <v>13500.062</v>
      </c>
      <c r="BG21" s="118">
        <v>18083.889</v>
      </c>
      <c r="BH21" s="118">
        <v>57501</v>
      </c>
      <c r="BI21" s="116">
        <v>0</v>
      </c>
      <c r="BJ21" s="117">
        <v>4661</v>
      </c>
      <c r="BK21" s="118">
        <v>30240.8</v>
      </c>
      <c r="BL21" s="118">
        <v>55167</v>
      </c>
      <c r="BM21" s="116">
        <v>0</v>
      </c>
      <c r="BN21" s="117">
        <v>645987</v>
      </c>
      <c r="BO21" s="118">
        <v>505950</v>
      </c>
      <c r="BP21" s="118">
        <v>548737</v>
      </c>
      <c r="BQ21" s="116">
        <v>0</v>
      </c>
      <c r="BR21" s="117">
        <v>0</v>
      </c>
      <c r="BS21" s="118">
        <v>36065</v>
      </c>
      <c r="BT21" s="118">
        <v>13574</v>
      </c>
      <c r="BU21" s="116">
        <v>23110.8</v>
      </c>
      <c r="BV21" s="117">
        <v>19307.242</v>
      </c>
      <c r="BW21" s="118">
        <v>22770.051</v>
      </c>
      <c r="BX21" s="118">
        <v>33472</v>
      </c>
      <c r="BY21" s="116">
        <v>2526.685</v>
      </c>
      <c r="BZ21" s="117">
        <v>12234.493</v>
      </c>
      <c r="CA21" s="118">
        <v>12829</v>
      </c>
      <c r="CB21" s="118">
        <v>19686</v>
      </c>
      <c r="CC21" s="116">
        <v>0</v>
      </c>
      <c r="CD21" s="117">
        <v>0</v>
      </c>
      <c r="CE21" s="118">
        <v>10715</v>
      </c>
      <c r="CF21" s="118"/>
      <c r="CG21" s="116">
        <v>0</v>
      </c>
      <c r="CH21" s="117">
        <v>97534</v>
      </c>
      <c r="CI21" s="118">
        <v>113640</v>
      </c>
      <c r="CJ21" s="118">
        <v>117613</v>
      </c>
      <c r="CK21" s="116">
        <v>0</v>
      </c>
      <c r="CL21" s="117">
        <v>0</v>
      </c>
      <c r="CM21" s="118">
        <v>37286.832</v>
      </c>
      <c r="CN21" s="118">
        <v>58976</v>
      </c>
      <c r="CO21" s="116">
        <v>0</v>
      </c>
      <c r="CP21" s="117">
        <v>240835.18</v>
      </c>
      <c r="CQ21" s="118">
        <v>0</v>
      </c>
      <c r="CR21" s="116">
        <v>0</v>
      </c>
      <c r="CS21" s="117">
        <v>0</v>
      </c>
      <c r="CT21" s="118">
        <v>0</v>
      </c>
      <c r="CU21" s="118">
        <v>11893</v>
      </c>
      <c r="CV21" s="116">
        <v>31748</v>
      </c>
      <c r="CW21" s="117">
        <v>13604.215</v>
      </c>
      <c r="CX21" s="118">
        <v>16281.337</v>
      </c>
      <c r="CY21" s="118">
        <v>26807</v>
      </c>
      <c r="CZ21" s="116">
        <v>0</v>
      </c>
      <c r="DA21" s="117">
        <v>133832</v>
      </c>
      <c r="DB21" s="118">
        <v>158449</v>
      </c>
      <c r="DC21" s="118">
        <v>161499</v>
      </c>
      <c r="DD21" s="116">
        <v>105637.55013</v>
      </c>
      <c r="DE21" s="117">
        <v>81748.351</v>
      </c>
      <c r="DF21" s="118">
        <v>75497.137</v>
      </c>
      <c r="DG21" s="118">
        <v>66</v>
      </c>
      <c r="DH21" s="116">
        <v>0</v>
      </c>
      <c r="DI21" s="117">
        <v>0</v>
      </c>
      <c r="DJ21" s="118">
        <v>0</v>
      </c>
      <c r="DK21" s="118">
        <v>0</v>
      </c>
      <c r="DL21" s="116">
        <v>22175.317</v>
      </c>
      <c r="DM21" s="117">
        <v>0</v>
      </c>
      <c r="DN21" s="118">
        <v>0</v>
      </c>
      <c r="DO21" s="118">
        <v>0</v>
      </c>
      <c r="DP21" s="116">
        <v>0</v>
      </c>
      <c r="DQ21" s="117">
        <v>17890</v>
      </c>
      <c r="DR21" s="118">
        <v>2378</v>
      </c>
      <c r="DS21" s="118">
        <v>2450</v>
      </c>
      <c r="DT21" s="116">
        <v>0</v>
      </c>
      <c r="DU21" s="117">
        <v>914.25</v>
      </c>
      <c r="DV21" s="118">
        <v>4388.2</v>
      </c>
      <c r="DW21" s="118"/>
      <c r="DX21" s="116">
        <v>0</v>
      </c>
      <c r="DY21" s="117">
        <v>29670.693</v>
      </c>
      <c r="DZ21" s="118">
        <v>34315.373</v>
      </c>
      <c r="EA21" s="118">
        <v>58741</v>
      </c>
      <c r="EB21" s="116">
        <v>0</v>
      </c>
      <c r="EC21" s="117">
        <v>88367.163</v>
      </c>
      <c r="ED21" s="118">
        <v>142057.225</v>
      </c>
      <c r="EE21" s="118">
        <v>110902</v>
      </c>
      <c r="EF21" s="116">
        <v>26664.454</v>
      </c>
      <c r="EG21" s="117">
        <v>43388.146</v>
      </c>
      <c r="EH21" s="118">
        <v>121704.643</v>
      </c>
      <c r="EI21" s="118">
        <v>268900</v>
      </c>
      <c r="EJ21" s="116">
        <v>15195.77</v>
      </c>
      <c r="EK21" s="117">
        <v>12059.24</v>
      </c>
      <c r="EL21" s="118">
        <v>13091.941</v>
      </c>
      <c r="EM21" s="118">
        <v>38105</v>
      </c>
      <c r="EN21" s="116">
        <v>-32064.28876</v>
      </c>
      <c r="EO21" s="117">
        <v>-14614.406</v>
      </c>
      <c r="EP21" s="118">
        <v>0</v>
      </c>
      <c r="EQ21" s="118"/>
      <c r="ER21" s="116">
        <v>0</v>
      </c>
      <c r="ES21" s="117">
        <v>0</v>
      </c>
      <c r="ET21" s="118">
        <v>17873</v>
      </c>
      <c r="EU21" s="118">
        <v>45524</v>
      </c>
      <c r="EV21" s="116">
        <v>18731</v>
      </c>
      <c r="EW21" s="117">
        <v>84145.367</v>
      </c>
      <c r="EX21" s="118">
        <v>52693</v>
      </c>
      <c r="EY21" s="118">
        <v>94959</v>
      </c>
      <c r="EZ21" s="116">
        <v>0</v>
      </c>
      <c r="FA21" s="117">
        <v>17003</v>
      </c>
      <c r="FB21" s="118">
        <v>-10543</v>
      </c>
      <c r="FC21" s="118"/>
      <c r="FD21" s="116">
        <v>-43703</v>
      </c>
      <c r="FE21" s="117">
        <v>0</v>
      </c>
      <c r="FF21" s="118">
        <v>0</v>
      </c>
      <c r="FG21" s="118">
        <v>0</v>
      </c>
      <c r="FH21" s="120">
        <v>317393.83</v>
      </c>
      <c r="FI21" s="117">
        <v>0</v>
      </c>
      <c r="FJ21" s="118">
        <v>0</v>
      </c>
      <c r="FK21" s="118">
        <v>1019584</v>
      </c>
      <c r="FL21" s="116"/>
      <c r="FM21" s="117">
        <v>0</v>
      </c>
      <c r="FN21" s="118">
        <v>0</v>
      </c>
      <c r="FO21" s="118">
        <v>25844</v>
      </c>
      <c r="FQ21" s="16" t="s">
        <v>150</v>
      </c>
    </row>
    <row r="22" spans="1:173" ht="12.75">
      <c r="A22" s="52" t="s">
        <v>25</v>
      </c>
      <c r="B22" s="50">
        <f t="shared" si="18"/>
        <v>1046355.1662</v>
      </c>
      <c r="C22" s="50">
        <f t="shared" si="18"/>
        <v>1402456.992</v>
      </c>
      <c r="D22" s="161">
        <f t="shared" si="18"/>
        <v>1878235.3490000002</v>
      </c>
      <c r="E22" s="161">
        <f>J22+N22+R22+V22+Z22+AC22+AG22+AK22+AO22+AW22+BA22+BE22+BI22+BM22+BQ22+BU22+BY22+CC22+CG22+CK22+CO22+CR22+CV22+CZ22+DD22+DH22+DL22+DP22+DT22+DX22+EB22+EF22+EJ22+EN22+ER22+EV22+EZ22+FD22+FH22</f>
        <v>767686.9682</v>
      </c>
      <c r="F22" s="50">
        <v>278668.198</v>
      </c>
      <c r="G22" s="106">
        <v>38328.172</v>
      </c>
      <c r="H22" s="77">
        <v>0</v>
      </c>
      <c r="I22" s="77">
        <v>0</v>
      </c>
      <c r="J22" s="50">
        <v>0</v>
      </c>
      <c r="K22" s="106">
        <v>122596.468</v>
      </c>
      <c r="L22" s="110">
        <v>131678.189</v>
      </c>
      <c r="M22" s="110"/>
      <c r="N22" s="50">
        <v>0</v>
      </c>
      <c r="O22" s="77">
        <v>9159.65</v>
      </c>
      <c r="P22" s="110">
        <f>9667.565-171850.353</f>
        <v>-162182.788</v>
      </c>
      <c r="Q22" s="110">
        <v>-157543</v>
      </c>
      <c r="R22" s="50">
        <v>11725</v>
      </c>
      <c r="S22" s="114">
        <v>26659</v>
      </c>
      <c r="T22" s="77">
        <v>0</v>
      </c>
      <c r="U22" s="77">
        <v>12482</v>
      </c>
      <c r="V22" s="50">
        <v>0</v>
      </c>
      <c r="W22" s="50">
        <v>266079.634</v>
      </c>
      <c r="X22" s="77">
        <v>368591.697</v>
      </c>
      <c r="Y22" s="77">
        <v>474703</v>
      </c>
      <c r="Z22" s="50">
        <v>0</v>
      </c>
      <c r="AA22" s="114">
        <v>0</v>
      </c>
      <c r="AB22" s="77">
        <v>175136</v>
      </c>
      <c r="AC22" s="114">
        <v>0</v>
      </c>
      <c r="AD22" s="114">
        <v>0</v>
      </c>
      <c r="AE22" s="134">
        <v>0</v>
      </c>
      <c r="AF22" s="77">
        <v>640536</v>
      </c>
      <c r="AG22" s="50">
        <v>28643.17256</v>
      </c>
      <c r="AH22" s="123">
        <v>41685.018</v>
      </c>
      <c r="AI22" s="77">
        <v>52712.409</v>
      </c>
      <c r="AJ22" s="77">
        <v>64522</v>
      </c>
      <c r="AK22" s="114">
        <v>0</v>
      </c>
      <c r="AL22" s="114">
        <v>0</v>
      </c>
      <c r="AM22" s="134">
        <v>0</v>
      </c>
      <c r="AN22" s="134">
        <v>0</v>
      </c>
      <c r="AO22" s="114">
        <v>0</v>
      </c>
      <c r="AP22" s="114">
        <v>0</v>
      </c>
      <c r="AQ22" s="134">
        <v>-140472</v>
      </c>
      <c r="AR22" s="134">
        <v>-10631</v>
      </c>
      <c r="AS22" s="50">
        <v>112726</v>
      </c>
      <c r="AT22" s="130">
        <v>147591</v>
      </c>
      <c r="AU22" s="183">
        <v>164284</v>
      </c>
      <c r="AV22" s="183">
        <v>0</v>
      </c>
      <c r="AW22" s="50">
        <v>0</v>
      </c>
      <c r="AX22" s="114">
        <v>28650</v>
      </c>
      <c r="AY22" s="77">
        <v>0</v>
      </c>
      <c r="AZ22" s="77">
        <v>-14787</v>
      </c>
      <c r="BA22" s="50">
        <v>-402779</v>
      </c>
      <c r="BB22" s="114">
        <v>-248741</v>
      </c>
      <c r="BC22" s="77">
        <v>-153803</v>
      </c>
      <c r="BD22" s="77">
        <v>-99112</v>
      </c>
      <c r="BE22" s="50">
        <v>0</v>
      </c>
      <c r="BF22" s="114">
        <v>43685.852</v>
      </c>
      <c r="BG22" s="77">
        <v>57185.914</v>
      </c>
      <c r="BH22" s="77">
        <v>55762</v>
      </c>
      <c r="BI22" s="50">
        <v>0</v>
      </c>
      <c r="BJ22" s="114">
        <v>0</v>
      </c>
      <c r="BK22" s="77">
        <v>13037.304</v>
      </c>
      <c r="BL22" s="77">
        <v>50478</v>
      </c>
      <c r="BM22" s="50">
        <v>0</v>
      </c>
      <c r="BN22" s="114">
        <v>80555</v>
      </c>
      <c r="BO22" s="77">
        <v>391510</v>
      </c>
      <c r="BP22" s="77">
        <v>28824</v>
      </c>
      <c r="BQ22" s="114">
        <v>0</v>
      </c>
      <c r="BR22" s="114">
        <v>0</v>
      </c>
      <c r="BS22" s="134">
        <v>0</v>
      </c>
      <c r="BT22" s="134">
        <v>36065</v>
      </c>
      <c r="BU22" s="50">
        <v>51696.5064</v>
      </c>
      <c r="BV22" s="114">
        <v>73445.642</v>
      </c>
      <c r="BW22" s="77">
        <v>91548.305</v>
      </c>
      <c r="BX22" s="77">
        <v>114318</v>
      </c>
      <c r="BY22" s="125">
        <v>41116.726</v>
      </c>
      <c r="BZ22" s="125">
        <v>45089.742</v>
      </c>
      <c r="CA22" s="77">
        <v>56101</v>
      </c>
      <c r="CB22" s="77">
        <v>67647</v>
      </c>
      <c r="CC22" s="125">
        <v>0</v>
      </c>
      <c r="CD22" s="125">
        <v>0</v>
      </c>
      <c r="CE22" s="77">
        <v>291479</v>
      </c>
      <c r="CF22" s="77"/>
      <c r="CG22" s="50">
        <v>1035275.804</v>
      </c>
      <c r="CH22" s="114">
        <f>832809.721-97534</f>
        <v>735275.721</v>
      </c>
      <c r="CI22" s="77">
        <f>699569.02-113640</f>
        <v>585929.02</v>
      </c>
      <c r="CJ22" s="77">
        <f>941542-CJ20-CJ21-CJ23</f>
        <v>177948</v>
      </c>
      <c r="CK22" s="50">
        <v>0</v>
      </c>
      <c r="CL22" s="125">
        <v>0</v>
      </c>
      <c r="CM22" s="127"/>
      <c r="CN22" s="127">
        <v>0</v>
      </c>
      <c r="CO22" s="50">
        <v>0</v>
      </c>
      <c r="CP22" s="125">
        <v>85504.376</v>
      </c>
      <c r="CQ22" s="77">
        <v>0</v>
      </c>
      <c r="CR22" s="125">
        <v>0</v>
      </c>
      <c r="CS22" s="125">
        <v>0</v>
      </c>
      <c r="CT22" s="77">
        <v>0</v>
      </c>
      <c r="CU22" s="77">
        <v>115822</v>
      </c>
      <c r="CV22" s="50">
        <v>-21399.391</v>
      </c>
      <c r="CW22" s="125">
        <v>-21399.391</v>
      </c>
      <c r="CX22" s="77">
        <v>-7795.176</v>
      </c>
      <c r="CY22" s="77">
        <v>292934</v>
      </c>
      <c r="CZ22" s="50">
        <v>0</v>
      </c>
      <c r="DA22" s="125">
        <v>52259</v>
      </c>
      <c r="DB22" s="129">
        <v>11922</v>
      </c>
      <c r="DC22" s="129">
        <v>564802</v>
      </c>
      <c r="DD22" s="50">
        <v>0</v>
      </c>
      <c r="DE22" s="114">
        <v>105637.55</v>
      </c>
      <c r="DF22" s="77">
        <v>187385.901</v>
      </c>
      <c r="DG22" s="77">
        <v>262883</v>
      </c>
      <c r="DH22" s="125">
        <v>0</v>
      </c>
      <c r="DI22" s="125">
        <v>0</v>
      </c>
      <c r="DJ22" s="77">
        <v>0</v>
      </c>
      <c r="DK22" s="77">
        <v>0</v>
      </c>
      <c r="DL22" s="50">
        <f>31548.05455-102921.7531</f>
        <v>-71373.69855</v>
      </c>
      <c r="DM22" s="125">
        <v>0</v>
      </c>
      <c r="DN22" s="77">
        <v>0</v>
      </c>
      <c r="DO22" s="77">
        <v>0</v>
      </c>
      <c r="DP22" s="50">
        <v>0</v>
      </c>
      <c r="DQ22" s="125">
        <v>-92397.755</v>
      </c>
      <c r="DR22" s="77">
        <v>-73706.371</v>
      </c>
      <c r="DS22" s="77">
        <v>-51342</v>
      </c>
      <c r="DT22" s="50">
        <v>0</v>
      </c>
      <c r="DU22" s="125">
        <v>2584.321</v>
      </c>
      <c r="DV22" s="77">
        <v>2052</v>
      </c>
      <c r="DW22" s="77"/>
      <c r="DX22" s="50">
        <v>0</v>
      </c>
      <c r="DY22" s="125">
        <v>142567</v>
      </c>
      <c r="DZ22" s="77">
        <v>0</v>
      </c>
      <c r="EA22" s="77">
        <v>31068</v>
      </c>
      <c r="EB22" s="50">
        <v>0</v>
      </c>
      <c r="EC22" s="130">
        <v>-164623.126</v>
      </c>
      <c r="ED22" s="77">
        <v>-116688.98</v>
      </c>
      <c r="EE22" s="77">
        <v>-42546</v>
      </c>
      <c r="EF22" s="50">
        <v>0</v>
      </c>
      <c r="EG22" s="125">
        <v>0</v>
      </c>
      <c r="EH22" s="77">
        <v>84562.367</v>
      </c>
      <c r="EI22" s="77">
        <v>0</v>
      </c>
      <c r="EJ22" s="50">
        <v>23557.6</v>
      </c>
      <c r="EK22" s="125">
        <v>37233.793</v>
      </c>
      <c r="EL22" s="77">
        <v>49293.034</v>
      </c>
      <c r="EM22" s="77">
        <v>60930</v>
      </c>
      <c r="EN22" s="50">
        <v>37296.24879</v>
      </c>
      <c r="EO22" s="125">
        <v>5231.96</v>
      </c>
      <c r="EP22" s="77">
        <v>-9382.476</v>
      </c>
      <c r="EQ22" s="77"/>
      <c r="ER22" s="131">
        <v>0</v>
      </c>
      <c r="ES22" s="131">
        <v>0</v>
      </c>
      <c r="ET22" s="77">
        <v>0</v>
      </c>
      <c r="EU22" s="77">
        <v>17359</v>
      </c>
      <c r="EV22" s="50">
        <v>0</v>
      </c>
      <c r="EW22" s="131">
        <v>-51868.844</v>
      </c>
      <c r="EX22" s="77">
        <v>-7858</v>
      </c>
      <c r="EY22" s="77">
        <f>-7858+44911</f>
        <v>37053</v>
      </c>
      <c r="EZ22" s="50">
        <v>0</v>
      </c>
      <c r="FA22" s="131">
        <v>39259.209</v>
      </c>
      <c r="FB22" s="77">
        <v>0</v>
      </c>
      <c r="FC22" s="77"/>
      <c r="FD22" s="50">
        <v>33928</v>
      </c>
      <c r="FE22" s="131">
        <v>0</v>
      </c>
      <c r="FF22" s="77">
        <v>0</v>
      </c>
      <c r="FG22" s="77">
        <v>0</v>
      </c>
      <c r="FH22" s="60">
        <v>0</v>
      </c>
      <c r="FI22" s="179">
        <v>0</v>
      </c>
      <c r="FJ22" s="77">
        <v>0</v>
      </c>
      <c r="FK22" s="77">
        <v>0</v>
      </c>
      <c r="FL22" s="50"/>
      <c r="FM22" s="179">
        <v>0</v>
      </c>
      <c r="FN22" s="77">
        <v>0</v>
      </c>
      <c r="FO22" s="77">
        <v>35356</v>
      </c>
      <c r="FQ22" t="s">
        <v>151</v>
      </c>
    </row>
    <row r="23" spans="1:173" ht="12.75">
      <c r="A23" s="52" t="s">
        <v>26</v>
      </c>
      <c r="B23" s="50">
        <f t="shared" si="18"/>
        <v>17451353.541029997</v>
      </c>
      <c r="C23" s="50">
        <f t="shared" si="18"/>
        <v>16944089.283</v>
      </c>
      <c r="D23" s="161">
        <f t="shared" si="18"/>
        <v>33989713.23399999</v>
      </c>
      <c r="E23" s="161">
        <f>J23+N23+R23+V23+Z23+AC23+AG23+AK23+AO23+AW23+BA23+BE23+BI23+BM23+BQ23+BU23+BY23+CC23+CG23+CK23+CO23+CR23+CV23+CZ23+DD23+DH23+DL23+DP23+DT23+DX23+EB23+EF23+EJ23+EN23+ER23+EV23+EZ23+FD23+FH23</f>
        <v>15635519.77303</v>
      </c>
      <c r="F23" s="50">
        <f>1395153.432+884681.71+6465</f>
        <v>2286300.142</v>
      </c>
      <c r="G23" s="106">
        <f>6465+724681.71+1644864.607</f>
        <v>2376011.317</v>
      </c>
      <c r="H23" s="77">
        <f>24295.386+724681.71+5102423.874</f>
        <v>5851400.97</v>
      </c>
      <c r="I23" s="77">
        <f>33667+713096+5166578</f>
        <v>5913341</v>
      </c>
      <c r="J23" s="50">
        <v>0</v>
      </c>
      <c r="K23" s="106">
        <v>111575.359</v>
      </c>
      <c r="L23" s="110">
        <v>197512.711</v>
      </c>
      <c r="M23" s="110"/>
      <c r="N23" s="50">
        <v>0</v>
      </c>
      <c r="O23" s="77">
        <v>0</v>
      </c>
      <c r="P23" s="110">
        <v>35441.474</v>
      </c>
      <c r="Q23" s="110">
        <v>35441</v>
      </c>
      <c r="R23" s="50">
        <v>0</v>
      </c>
      <c r="S23" s="114">
        <v>0</v>
      </c>
      <c r="T23" s="77">
        <v>0</v>
      </c>
      <c r="U23" s="77">
        <v>0</v>
      </c>
      <c r="V23" s="50">
        <v>0</v>
      </c>
      <c r="W23" s="50">
        <v>568332.86</v>
      </c>
      <c r="X23" s="77">
        <f>1482.287+147600.295+419251.258</f>
        <v>568333.84</v>
      </c>
      <c r="Y23" s="77">
        <f>500000+147600+1482</f>
        <v>649082</v>
      </c>
      <c r="Z23" s="50">
        <f>6573+57715+120000+50500</f>
        <v>234788</v>
      </c>
      <c r="AA23" s="114">
        <v>0</v>
      </c>
      <c r="AB23" s="77">
        <f>125500+149406+25627</f>
        <v>300533</v>
      </c>
      <c r="AC23" s="114">
        <v>0</v>
      </c>
      <c r="AD23" s="114">
        <v>0</v>
      </c>
      <c r="AE23" s="134">
        <v>0</v>
      </c>
      <c r="AF23" s="77">
        <f>125500+403554+25627</f>
        <v>554681</v>
      </c>
      <c r="AG23" s="50">
        <f>355448.91086+23491.84786</f>
        <v>378940.75872</v>
      </c>
      <c r="AH23" s="123">
        <f>28643.516+355448.91</f>
        <v>384092.426</v>
      </c>
      <c r="AI23" s="77">
        <f>28643.516+355448.91</f>
        <v>384092.426</v>
      </c>
      <c r="AJ23" s="77">
        <f>28644+355449</f>
        <v>384093</v>
      </c>
      <c r="AK23" s="114">
        <v>0</v>
      </c>
      <c r="AL23" s="114">
        <v>0</v>
      </c>
      <c r="AM23" s="134">
        <v>0</v>
      </c>
      <c r="AN23" s="134">
        <v>0</v>
      </c>
      <c r="AO23" s="114">
        <v>0</v>
      </c>
      <c r="AP23" s="114">
        <v>0</v>
      </c>
      <c r="AQ23" s="134">
        <f>17617+188416</f>
        <v>206033</v>
      </c>
      <c r="AR23" s="134">
        <f>31643+188416</f>
        <v>220059</v>
      </c>
      <c r="AS23" s="50">
        <f>50000+553841+62000</f>
        <v>665841</v>
      </c>
      <c r="AT23" s="130">
        <f>50000+553841+62000</f>
        <v>665841</v>
      </c>
      <c r="AU23" s="183">
        <f>50000+553841+62000</f>
        <v>665841</v>
      </c>
      <c r="AV23" s="183">
        <f>585315+1064157</f>
        <v>1649472</v>
      </c>
      <c r="AW23" s="50">
        <v>0</v>
      </c>
      <c r="AX23" s="114">
        <v>1350</v>
      </c>
      <c r="AY23" s="77">
        <v>450</v>
      </c>
      <c r="AZ23" s="77">
        <v>450</v>
      </c>
      <c r="BA23" s="50">
        <f>10776616+2173296</f>
        <v>12949912</v>
      </c>
      <c r="BB23" s="114">
        <f>2173296+1085442</f>
        <v>3258738</v>
      </c>
      <c r="BC23" s="77">
        <f>2173296+12324285</f>
        <v>14497581</v>
      </c>
      <c r="BD23" s="77">
        <f>2173296+13033922</f>
        <v>15207218</v>
      </c>
      <c r="BE23" s="50">
        <v>0</v>
      </c>
      <c r="BF23" s="114">
        <f>327004-571.444</f>
        <v>326432.556</v>
      </c>
      <c r="BG23" s="77">
        <f>52937.672+150491.671+309000</f>
        <v>512429.343</v>
      </c>
      <c r="BH23" s="77">
        <f>170000+52938</f>
        <v>222938</v>
      </c>
      <c r="BI23" s="50">
        <v>0</v>
      </c>
      <c r="BJ23" s="114">
        <v>0</v>
      </c>
      <c r="BK23" s="77">
        <f>5894.882+102307.256+30500.768</f>
        <v>138702.906</v>
      </c>
      <c r="BL23" s="77">
        <f>5894+102307+30500</f>
        <v>138701</v>
      </c>
      <c r="BM23" s="50">
        <v>0</v>
      </c>
      <c r="BN23" s="114">
        <f>100+773356+789631+5929869</f>
        <v>7492956</v>
      </c>
      <c r="BO23" s="77">
        <f>100+837955+726027+6028247</f>
        <v>7592329</v>
      </c>
      <c r="BP23" s="77">
        <f>100000+1346591+648203+6154853</f>
        <v>8249647</v>
      </c>
      <c r="BQ23" s="114">
        <v>0</v>
      </c>
      <c r="BR23" s="114">
        <v>0</v>
      </c>
      <c r="BS23" s="134">
        <f>2668+178246+74141</f>
        <v>255055</v>
      </c>
      <c r="BT23" s="134">
        <f>2668+178246+304241</f>
        <v>485155</v>
      </c>
      <c r="BU23" s="50">
        <f>17919.761+11190.04286</f>
        <v>29109.80386</v>
      </c>
      <c r="BV23" s="114">
        <f>10946.752+11898.061+450000</f>
        <v>472844.813</v>
      </c>
      <c r="BW23" s="77">
        <f>10946.742+11898.061+450000</f>
        <v>472844.803</v>
      </c>
      <c r="BX23" s="77">
        <f>10946+11898+450000</f>
        <v>472844</v>
      </c>
      <c r="BY23" s="125">
        <f>1344.504+46762.753+204017.005</f>
        <v>252124.262</v>
      </c>
      <c r="BZ23" s="125">
        <f>1597.173+46762.753+204017.005</f>
        <v>252376.931</v>
      </c>
      <c r="CA23" s="77">
        <f>2820+46762+216009</f>
        <v>265591</v>
      </c>
      <c r="CB23" s="77">
        <f>4104+46763+216009</f>
        <v>266876</v>
      </c>
      <c r="CC23" s="125">
        <v>0</v>
      </c>
      <c r="CD23" s="125">
        <v>0</v>
      </c>
      <c r="CE23" s="77">
        <v>17048</v>
      </c>
      <c r="CF23" s="77"/>
      <c r="CG23" s="50">
        <v>4360.511</v>
      </c>
      <c r="CH23" s="114">
        <v>4360.512</v>
      </c>
      <c r="CI23" s="77">
        <v>4360.512</v>
      </c>
      <c r="CJ23" s="77">
        <f>521620+4361</f>
        <v>525981</v>
      </c>
      <c r="CK23" s="50">
        <v>0</v>
      </c>
      <c r="CL23" s="125">
        <f>1467.258+36772.733</f>
        <v>38239.991</v>
      </c>
      <c r="CM23" s="127">
        <v>2885.627</v>
      </c>
      <c r="CN23" s="127">
        <v>4778</v>
      </c>
      <c r="CO23" s="50">
        <v>0</v>
      </c>
      <c r="CP23" s="125">
        <v>4128</v>
      </c>
      <c r="CQ23" s="77">
        <v>0</v>
      </c>
      <c r="CR23" s="125">
        <v>0</v>
      </c>
      <c r="CS23" s="125">
        <v>0</v>
      </c>
      <c r="CT23" s="77">
        <v>0</v>
      </c>
      <c r="CU23" s="77">
        <v>4049</v>
      </c>
      <c r="CV23" s="50">
        <f>750+146818.85</f>
        <v>147568.85</v>
      </c>
      <c r="CW23" s="125">
        <f>750+146818.85</f>
        <v>147568.85</v>
      </c>
      <c r="CX23" s="77">
        <f>750+146818.85</f>
        <v>147568.85</v>
      </c>
      <c r="CY23" s="77"/>
      <c r="CZ23" s="50">
        <v>0</v>
      </c>
      <c r="DA23" s="125">
        <v>0</v>
      </c>
      <c r="DB23" s="77">
        <f>1148710.504-DB20-DB21-DB22</f>
        <v>926080.504</v>
      </c>
      <c r="DC23" s="77">
        <f>1510+226742+300367</f>
        <v>528619</v>
      </c>
      <c r="DD23" s="50">
        <f>46500.604+404648.51633+73668.33722</f>
        <v>524817.45755</v>
      </c>
      <c r="DE23" s="114">
        <f>73668.337+404648.516+46500.604</f>
        <v>524817.457</v>
      </c>
      <c r="DF23" s="77">
        <f>73668.337+404648.516+46500.604</f>
        <v>524817.457</v>
      </c>
      <c r="DG23" s="77">
        <f>73668+404648+46501</f>
        <v>524817</v>
      </c>
      <c r="DH23" s="125">
        <v>0</v>
      </c>
      <c r="DI23" s="125">
        <v>0</v>
      </c>
      <c r="DJ23" s="77">
        <v>0</v>
      </c>
      <c r="DK23" s="77">
        <v>0</v>
      </c>
      <c r="DL23" s="50">
        <f>212780.05+2500</f>
        <v>215280.05</v>
      </c>
      <c r="DM23" s="125">
        <v>0</v>
      </c>
      <c r="DN23" s="77">
        <v>0</v>
      </c>
      <c r="DO23" s="77">
        <v>0</v>
      </c>
      <c r="DP23" s="50">
        <v>0</v>
      </c>
      <c r="DQ23" s="125">
        <v>4965.755</v>
      </c>
      <c r="DR23" s="77">
        <v>6164.355</v>
      </c>
      <c r="DS23" s="77">
        <v>6323</v>
      </c>
      <c r="DT23" s="50">
        <v>0</v>
      </c>
      <c r="DU23" s="125">
        <f>62398+10631.181+18997.368</f>
        <v>92026.549</v>
      </c>
      <c r="DV23" s="77">
        <f>164126.36+13496.132+20517.368</f>
        <v>198139.86</v>
      </c>
      <c r="DW23" s="77"/>
      <c r="DX23" s="50">
        <v>0</v>
      </c>
      <c r="DY23" s="125">
        <f>115557+81411</f>
        <v>196968</v>
      </c>
      <c r="DZ23" s="77">
        <f>171696.173+81441</f>
        <v>253137.173</v>
      </c>
      <c r="EA23" s="77">
        <v>1404</v>
      </c>
      <c r="EB23" s="50">
        <v>0</v>
      </c>
      <c r="EC23" s="130">
        <f>25797+133090.72</f>
        <v>158887.72</v>
      </c>
      <c r="ED23" s="77">
        <f>133090.72+31123.017</f>
        <v>164213.737</v>
      </c>
      <c r="EE23" s="77">
        <f>39361+133091</f>
        <v>172452</v>
      </c>
      <c r="EF23" s="50">
        <f>13454.183+171160.81+74575.562</f>
        <v>259190.555</v>
      </c>
      <c r="EG23" s="125">
        <f>16120.629+4919.509+171160.81+74575.562</f>
        <v>266776.51</v>
      </c>
      <c r="EH23" s="77">
        <f>20459.443+4919.509+171160.81+74575.562</f>
        <v>271115.324</v>
      </c>
      <c r="EI23" s="77">
        <f>32630+89482+171161+74575</f>
        <v>367848</v>
      </c>
      <c r="EJ23" s="50">
        <f>7849.957+34219.628</f>
        <v>42069.585</v>
      </c>
      <c r="EK23" s="125">
        <f>9369.534+34219.628</f>
        <v>43589.162</v>
      </c>
      <c r="EL23" s="77">
        <f>10824.194+34219.628</f>
        <v>45043.822</v>
      </c>
      <c r="EM23" s="77">
        <f>12279+34219</f>
        <v>46498</v>
      </c>
      <c r="EN23" s="50">
        <f>86102.557+4109.8369</f>
        <v>90212.3939</v>
      </c>
      <c r="EO23" s="125">
        <f>4109.836+86102.557</f>
        <v>90212.393</v>
      </c>
      <c r="EP23" s="77">
        <f>4109.837+85251.93</f>
        <v>89361.76699999999</v>
      </c>
      <c r="EQ23" s="77"/>
      <c r="ER23" s="131">
        <v>0</v>
      </c>
      <c r="ES23" s="131">
        <v>0</v>
      </c>
      <c r="ET23" s="77">
        <v>18117</v>
      </c>
      <c r="EU23" s="77">
        <v>6157</v>
      </c>
      <c r="EV23" s="50">
        <f>47356.029+1890.3-13186.157</f>
        <v>36060.172000000006</v>
      </c>
      <c r="EW23" s="131">
        <f>47356.029+1890.3-13186.157</f>
        <v>36060.172000000006</v>
      </c>
      <c r="EX23" s="77">
        <f>6780-13186</f>
        <v>-6406</v>
      </c>
      <c r="EY23" s="77">
        <f>14563-13186</f>
        <v>1377</v>
      </c>
      <c r="EZ23" s="50">
        <v>0</v>
      </c>
      <c r="FA23" s="131">
        <f>23116.921+67661.029</f>
        <v>90777.95</v>
      </c>
      <c r="FB23" s="77">
        <f>23116.921+25998.852</f>
        <v>49115.773</v>
      </c>
      <c r="FC23" s="77"/>
      <c r="FD23" s="50">
        <v>619</v>
      </c>
      <c r="FE23" s="131">
        <v>0</v>
      </c>
      <c r="FF23" s="77">
        <v>619</v>
      </c>
      <c r="FG23" s="77"/>
      <c r="FH23" s="60">
        <f>432966.374+37500</f>
        <v>470466.374</v>
      </c>
      <c r="FI23" s="179">
        <v>0</v>
      </c>
      <c r="FJ23" s="77">
        <v>0</v>
      </c>
      <c r="FK23" s="77">
        <f>37500+432966</f>
        <v>470466</v>
      </c>
      <c r="FL23" s="50"/>
      <c r="FM23" s="179">
        <v>0</v>
      </c>
      <c r="FN23" s="77">
        <v>0</v>
      </c>
      <c r="FO23" s="77">
        <v>0</v>
      </c>
      <c r="FQ23" t="s">
        <v>152</v>
      </c>
    </row>
    <row r="24" spans="1:173" ht="12.75">
      <c r="A24" s="53" t="s">
        <v>27</v>
      </c>
      <c r="B24" s="51">
        <f>SUM(B20:B23)</f>
        <v>23607280.483919997</v>
      </c>
      <c r="C24" s="51">
        <f>SUM(C20:C23)</f>
        <v>28187780.813</v>
      </c>
      <c r="D24" s="162">
        <f>SUM(D20:D23)</f>
        <v>47195029.96099999</v>
      </c>
      <c r="E24" s="162">
        <f>SUM(E20:E23)</f>
        <v>21979512.37392</v>
      </c>
      <c r="F24" s="51">
        <f aca="true" t="shared" si="19" ref="F24:AI24">SUM(F20:F23)</f>
        <v>2490628.314</v>
      </c>
      <c r="G24" s="107">
        <f t="shared" si="19"/>
        <v>2880315.002</v>
      </c>
      <c r="H24" s="78">
        <f t="shared" si="19"/>
        <v>6271126.596</v>
      </c>
      <c r="I24" s="78">
        <f>SUM(I20:I23)</f>
        <v>6399858</v>
      </c>
      <c r="J24" s="51">
        <f t="shared" si="19"/>
        <v>0</v>
      </c>
      <c r="K24" s="107">
        <f t="shared" si="19"/>
        <v>483690.04</v>
      </c>
      <c r="L24" s="111">
        <f t="shared" si="19"/>
        <v>635158.493</v>
      </c>
      <c r="M24" s="111">
        <f>SUM(M20:M23)</f>
        <v>0</v>
      </c>
      <c r="N24" s="51">
        <f t="shared" si="19"/>
        <v>0</v>
      </c>
      <c r="O24" s="78">
        <f t="shared" si="19"/>
        <v>55352.685000000005</v>
      </c>
      <c r="P24" s="111">
        <f t="shared" si="19"/>
        <v>60184.49500000001</v>
      </c>
      <c r="Q24" s="111">
        <f>SUM(Q20:Q23)</f>
        <v>33803</v>
      </c>
      <c r="R24" s="51">
        <f>SUM(R20:R23)</f>
        <v>194088</v>
      </c>
      <c r="S24" s="107">
        <f>SUM(S20:S23)</f>
        <v>203981</v>
      </c>
      <c r="T24" s="80">
        <f t="shared" si="19"/>
        <v>162314</v>
      </c>
      <c r="U24" s="80">
        <f>SUM(U20:U23)</f>
        <v>182556</v>
      </c>
      <c r="V24" s="51">
        <f>SUM(V20:V23)</f>
        <v>0</v>
      </c>
      <c r="W24" s="51">
        <f>SUM(W20:W23)</f>
        <v>1016924.8840000001</v>
      </c>
      <c r="X24" s="80">
        <f t="shared" si="19"/>
        <v>1126272.537</v>
      </c>
      <c r="Y24" s="80">
        <f>SUM(Y20:Y23)</f>
        <v>1343198</v>
      </c>
      <c r="Z24" s="51">
        <f>SUM(Z20:Z23)</f>
        <v>389788</v>
      </c>
      <c r="AA24" s="107">
        <f>SUM(AA20:AA23)</f>
        <v>0</v>
      </c>
      <c r="AB24" s="80">
        <f t="shared" si="19"/>
        <v>692487</v>
      </c>
      <c r="AC24" s="107">
        <f t="shared" si="19"/>
        <v>0</v>
      </c>
      <c r="AD24" s="107">
        <f t="shared" si="19"/>
        <v>0</v>
      </c>
      <c r="AE24" s="111">
        <f t="shared" si="19"/>
        <v>0</v>
      </c>
      <c r="AF24" s="80">
        <f>SUM(AF20:AF23)</f>
        <v>1439914</v>
      </c>
      <c r="AG24" s="51">
        <f t="shared" si="19"/>
        <v>525777.4466</v>
      </c>
      <c r="AH24" s="122">
        <f t="shared" si="19"/>
        <v>536804.835</v>
      </c>
      <c r="AI24" s="80">
        <f t="shared" si="19"/>
        <v>548614.757</v>
      </c>
      <c r="AJ24" s="80">
        <f>SUM(AJ20:AJ23)</f>
        <v>548805</v>
      </c>
      <c r="AK24" s="107">
        <f aca="true" t="shared" si="20" ref="AK24:AQ24">SUM(AK20:AK23)</f>
        <v>0</v>
      </c>
      <c r="AL24" s="107">
        <f t="shared" si="20"/>
        <v>0</v>
      </c>
      <c r="AM24" s="111">
        <f t="shared" si="20"/>
        <v>0</v>
      </c>
      <c r="AN24" s="111">
        <f>SUM(AN20:AN23)</f>
        <v>0</v>
      </c>
      <c r="AO24" s="107">
        <f t="shared" si="20"/>
        <v>0</v>
      </c>
      <c r="AP24" s="107">
        <f t="shared" si="20"/>
        <v>0</v>
      </c>
      <c r="AQ24" s="111">
        <f t="shared" si="20"/>
        <v>256242</v>
      </c>
      <c r="AR24" s="111">
        <f>SUM(AR20:AR23)</f>
        <v>262684</v>
      </c>
      <c r="AS24" s="51">
        <f>SUM(AS20:AS23)</f>
        <v>844932</v>
      </c>
      <c r="AT24" s="107">
        <f>SUM(AT20:AT23)</f>
        <v>861625</v>
      </c>
      <c r="AU24" s="185">
        <f>SUM(AU20:AU23)</f>
        <v>883205</v>
      </c>
      <c r="AV24" s="185">
        <f>SUM(AV20:AV23)</f>
        <v>1205933</v>
      </c>
      <c r="AW24" s="51">
        <f aca="true" t="shared" si="21" ref="AW24:BT24">SUM(AW20:AW23)</f>
        <v>0</v>
      </c>
      <c r="AX24" s="107">
        <f t="shared" si="21"/>
        <v>32355</v>
      </c>
      <c r="AY24" s="78">
        <f t="shared" si="21"/>
        <v>5850</v>
      </c>
      <c r="AZ24" s="78">
        <f t="shared" si="21"/>
        <v>45007</v>
      </c>
      <c r="BA24" s="51">
        <f t="shared" si="21"/>
        <v>14837014</v>
      </c>
      <c r="BB24" s="107">
        <f t="shared" si="21"/>
        <v>5534063</v>
      </c>
      <c r="BC24" s="78">
        <f t="shared" si="21"/>
        <v>17308822</v>
      </c>
      <c r="BD24" s="78">
        <f t="shared" si="21"/>
        <v>18612743</v>
      </c>
      <c r="BE24" s="51">
        <f t="shared" si="21"/>
        <v>0</v>
      </c>
      <c r="BF24" s="107">
        <f t="shared" si="21"/>
        <v>544518.47</v>
      </c>
      <c r="BG24" s="78">
        <f t="shared" si="21"/>
        <v>747699.146</v>
      </c>
      <c r="BH24" s="78">
        <f t="shared" si="21"/>
        <v>496201</v>
      </c>
      <c r="BI24" s="51">
        <f t="shared" si="21"/>
        <v>0</v>
      </c>
      <c r="BJ24" s="107">
        <f t="shared" si="21"/>
        <v>4661</v>
      </c>
      <c r="BK24" s="78">
        <f t="shared" si="21"/>
        <v>331981.01</v>
      </c>
      <c r="BL24" s="78">
        <f t="shared" si="21"/>
        <v>394346</v>
      </c>
      <c r="BM24" s="51">
        <f t="shared" si="21"/>
        <v>1149874</v>
      </c>
      <c r="BN24" s="107">
        <f t="shared" si="21"/>
        <v>10819498</v>
      </c>
      <c r="BO24" s="78">
        <f t="shared" si="21"/>
        <v>11089789</v>
      </c>
      <c r="BP24" s="78">
        <f t="shared" si="21"/>
        <v>11427208</v>
      </c>
      <c r="BQ24" s="107">
        <f t="shared" si="21"/>
        <v>0</v>
      </c>
      <c r="BR24" s="107">
        <f t="shared" si="21"/>
        <v>0</v>
      </c>
      <c r="BS24" s="111">
        <f t="shared" si="21"/>
        <v>296120</v>
      </c>
      <c r="BT24" s="111">
        <f t="shared" si="21"/>
        <v>539794</v>
      </c>
      <c r="BU24" s="51">
        <f aca="true" t="shared" si="22" ref="BU24:CE24">SUM(BU20:BU23)</f>
        <v>258917.11026</v>
      </c>
      <c r="BV24" s="107">
        <f t="shared" si="22"/>
        <v>720597.697</v>
      </c>
      <c r="BW24" s="78">
        <f t="shared" si="22"/>
        <v>742163.159</v>
      </c>
      <c r="BX24" s="78">
        <f>SUM(BX20:BX23)</f>
        <v>775634</v>
      </c>
      <c r="BY24" s="107">
        <f t="shared" si="22"/>
        <v>306767.673</v>
      </c>
      <c r="BZ24" s="107">
        <f t="shared" si="22"/>
        <v>320701.166</v>
      </c>
      <c r="CA24" s="78">
        <f t="shared" si="22"/>
        <v>345521</v>
      </c>
      <c r="CB24" s="78">
        <f>SUM(CB20:CB23)</f>
        <v>365209</v>
      </c>
      <c r="CC24" s="107">
        <f t="shared" si="22"/>
        <v>0</v>
      </c>
      <c r="CD24" s="107">
        <f t="shared" si="22"/>
        <v>0</v>
      </c>
      <c r="CE24" s="78">
        <f t="shared" si="22"/>
        <v>485242</v>
      </c>
      <c r="CF24" s="78">
        <f>SUM(CF20:CF23)</f>
        <v>0</v>
      </c>
      <c r="CG24" s="51">
        <f>SUM(CG20:CG23)</f>
        <v>1159636.315</v>
      </c>
      <c r="CH24" s="107">
        <f>SUM(CH20:CH23)</f>
        <v>957170.233</v>
      </c>
      <c r="CI24" s="78">
        <f>SUM(CI20:CI23)</f>
        <v>823929.532</v>
      </c>
      <c r="CJ24" s="78">
        <f>SUM(CJ20:CJ23)</f>
        <v>941542</v>
      </c>
      <c r="CK24" s="51">
        <f aca="true" t="shared" si="23" ref="CK24:DA24">SUM(CK20:CK23)</f>
        <v>0</v>
      </c>
      <c r="CL24" s="107">
        <f t="shared" si="23"/>
        <v>113684.99100000001</v>
      </c>
      <c r="CM24" s="111">
        <f t="shared" si="23"/>
        <v>115617.45899999999</v>
      </c>
      <c r="CN24" s="111">
        <f>SUM(CN20:CN23)</f>
        <v>139199</v>
      </c>
      <c r="CO24" s="51">
        <f t="shared" si="23"/>
        <v>0</v>
      </c>
      <c r="CP24" s="107">
        <f t="shared" si="23"/>
        <v>332483.556</v>
      </c>
      <c r="CQ24" s="78">
        <f t="shared" si="23"/>
        <v>0</v>
      </c>
      <c r="CR24" s="107">
        <f t="shared" si="23"/>
        <v>0</v>
      </c>
      <c r="CS24" s="107">
        <f t="shared" si="23"/>
        <v>0</v>
      </c>
      <c r="CT24" s="78">
        <f t="shared" si="23"/>
        <v>0</v>
      </c>
      <c r="CU24" s="78">
        <f>SUM(CU20:CU23)</f>
        <v>133780</v>
      </c>
      <c r="CV24" s="51">
        <f t="shared" si="23"/>
        <v>159417.459</v>
      </c>
      <c r="CW24" s="107">
        <f t="shared" si="23"/>
        <v>141273.674</v>
      </c>
      <c r="CX24" s="78">
        <f t="shared" si="23"/>
        <v>157555.011</v>
      </c>
      <c r="CY24" s="78">
        <f>SUM(CY20:CY23)</f>
        <v>321241</v>
      </c>
      <c r="CZ24" s="51">
        <f t="shared" si="23"/>
        <v>0</v>
      </c>
      <c r="DA24" s="107">
        <f t="shared" si="23"/>
        <v>238350</v>
      </c>
      <c r="DB24" s="78">
        <f aca="true" t="shared" si="24" ref="DB24:DO24">SUM(DB20:DB23)</f>
        <v>1148710.504</v>
      </c>
      <c r="DC24" s="78">
        <f t="shared" si="24"/>
        <v>1257920</v>
      </c>
      <c r="DD24" s="51">
        <f t="shared" si="24"/>
        <v>730455.00768</v>
      </c>
      <c r="DE24" s="107">
        <f t="shared" si="24"/>
        <v>812203.358</v>
      </c>
      <c r="DF24" s="78">
        <f t="shared" si="24"/>
        <v>887700.4950000001</v>
      </c>
      <c r="DG24" s="78">
        <f t="shared" si="24"/>
        <v>887766</v>
      </c>
      <c r="DH24" s="107">
        <f t="shared" si="24"/>
        <v>0</v>
      </c>
      <c r="DI24" s="107">
        <f t="shared" si="24"/>
        <v>0</v>
      </c>
      <c r="DJ24" s="78">
        <f t="shared" si="24"/>
        <v>0</v>
      </c>
      <c r="DK24" s="78">
        <f t="shared" si="24"/>
        <v>0</v>
      </c>
      <c r="DL24" s="51">
        <f t="shared" si="24"/>
        <v>171081.66845</v>
      </c>
      <c r="DM24" s="107">
        <f t="shared" si="24"/>
        <v>0</v>
      </c>
      <c r="DN24" s="78">
        <f t="shared" si="24"/>
        <v>0</v>
      </c>
      <c r="DO24" s="78">
        <f t="shared" si="24"/>
        <v>0</v>
      </c>
      <c r="DP24" s="51">
        <f aca="true" t="shared" si="25" ref="DP24:FJ24">SUM(DP20:DP23)</f>
        <v>0</v>
      </c>
      <c r="DQ24" s="107">
        <f t="shared" si="25"/>
        <v>96458</v>
      </c>
      <c r="DR24" s="78">
        <f t="shared" si="25"/>
        <v>100835.984</v>
      </c>
      <c r="DS24" s="78">
        <f>SUM(DS20:DS23)</f>
        <v>123431</v>
      </c>
      <c r="DT24" s="51">
        <f t="shared" si="25"/>
        <v>0</v>
      </c>
      <c r="DU24" s="107">
        <f t="shared" si="25"/>
        <v>105525.12</v>
      </c>
      <c r="DV24" s="78">
        <f t="shared" si="25"/>
        <v>214580.06</v>
      </c>
      <c r="DW24" s="78">
        <f>SUM(DW20:DW23)</f>
        <v>0</v>
      </c>
      <c r="DX24" s="51">
        <f t="shared" si="25"/>
        <v>0</v>
      </c>
      <c r="DY24" s="107">
        <f t="shared" si="25"/>
        <v>374205.69299999997</v>
      </c>
      <c r="DZ24" s="78">
        <f t="shared" si="25"/>
        <v>292452.54600000003</v>
      </c>
      <c r="EA24" s="78">
        <f>SUM(EA20:EA23)</f>
        <v>96213</v>
      </c>
      <c r="EB24" s="51">
        <f t="shared" si="25"/>
        <v>0</v>
      </c>
      <c r="EC24" s="107">
        <f t="shared" si="25"/>
        <v>402631.757</v>
      </c>
      <c r="ED24" s="78">
        <f t="shared" si="25"/>
        <v>509581.98199999996</v>
      </c>
      <c r="EE24" s="78">
        <f>SUM(EE20:EE23)</f>
        <v>560808</v>
      </c>
      <c r="EF24" s="51">
        <f t="shared" si="25"/>
        <v>585333.0090000001</v>
      </c>
      <c r="EG24" s="107">
        <f t="shared" si="25"/>
        <v>609642.656</v>
      </c>
      <c r="EH24" s="78">
        <f t="shared" si="25"/>
        <v>776860.334</v>
      </c>
      <c r="EI24" s="78">
        <f>SUM(EI20:EI23)</f>
        <v>936226</v>
      </c>
      <c r="EJ24" s="51">
        <f t="shared" si="25"/>
        <v>235322.955</v>
      </c>
      <c r="EK24" s="107">
        <f t="shared" si="25"/>
        <v>247382.195</v>
      </c>
      <c r="EL24" s="78">
        <f t="shared" si="25"/>
        <v>261928.79699999996</v>
      </c>
      <c r="EM24" s="78">
        <f>SUM(EM20:EM23)</f>
        <v>300033</v>
      </c>
      <c r="EN24" s="51">
        <f t="shared" si="25"/>
        <v>97544.35393</v>
      </c>
      <c r="EO24" s="107">
        <f t="shared" si="25"/>
        <v>82929.947</v>
      </c>
      <c r="EP24" s="78">
        <f t="shared" si="25"/>
        <v>82079.291</v>
      </c>
      <c r="EQ24" s="78">
        <f aca="true" t="shared" si="26" ref="EQ24:EW24">SUM(EQ20:EQ23)</f>
        <v>0</v>
      </c>
      <c r="ER24" s="107">
        <f t="shared" si="26"/>
        <v>0</v>
      </c>
      <c r="ES24" s="107">
        <f t="shared" si="26"/>
        <v>0</v>
      </c>
      <c r="ET24" s="78">
        <f t="shared" si="26"/>
        <v>214990</v>
      </c>
      <c r="EU24" s="78">
        <f t="shared" si="26"/>
        <v>248040</v>
      </c>
      <c r="EV24" s="51">
        <f t="shared" si="26"/>
        <v>204791.17200000002</v>
      </c>
      <c r="EW24" s="107">
        <f t="shared" si="26"/>
        <v>218336.695</v>
      </c>
      <c r="EX24" s="78">
        <f t="shared" si="25"/>
        <v>188429</v>
      </c>
      <c r="EY24" s="78">
        <f>SUM(EY20:EY23)</f>
        <v>283389</v>
      </c>
      <c r="EZ24" s="51">
        <f>SUM(EZ20:EZ23)</f>
        <v>0</v>
      </c>
      <c r="FA24" s="107">
        <f>SUM(FA20:FA23)</f>
        <v>302040.159</v>
      </c>
      <c r="FB24" s="78">
        <f t="shared" si="25"/>
        <v>193572.773</v>
      </c>
      <c r="FC24" s="78">
        <f>SUM(FC20:FC23)</f>
        <v>0</v>
      </c>
      <c r="FD24" s="51">
        <f t="shared" si="25"/>
        <v>110844</v>
      </c>
      <c r="FE24" s="107">
        <f t="shared" si="25"/>
        <v>0</v>
      </c>
      <c r="FF24" s="78">
        <f t="shared" si="25"/>
        <v>120619</v>
      </c>
      <c r="FG24" s="78">
        <f>SUM(FG20:FG23)</f>
        <v>0</v>
      </c>
      <c r="FH24" s="61">
        <f t="shared" si="25"/>
        <v>862860.204</v>
      </c>
      <c r="FI24" s="107">
        <f t="shared" si="25"/>
        <v>0</v>
      </c>
      <c r="FJ24" s="78">
        <f t="shared" si="25"/>
        <v>0</v>
      </c>
      <c r="FK24" s="78">
        <f>SUM(FK20:FK23)</f>
        <v>1565050</v>
      </c>
      <c r="FL24" s="51"/>
      <c r="FM24" s="107">
        <f>SUM(FM20:FM23)</f>
        <v>0</v>
      </c>
      <c r="FN24" s="78">
        <f>SUM(FN20:FN23)</f>
        <v>0</v>
      </c>
      <c r="FO24" s="78">
        <f>SUM(FO20:FO23)</f>
        <v>321200</v>
      </c>
      <c r="FQ24" t="s">
        <v>153</v>
      </c>
    </row>
    <row r="25" spans="1:173" ht="12.75">
      <c r="A25" s="53" t="s">
        <v>28</v>
      </c>
      <c r="B25" s="51">
        <f>+B24+B18</f>
        <v>36868275.52929</v>
      </c>
      <c r="C25" s="51">
        <f>+C24+C18</f>
        <v>57652314.583000004</v>
      </c>
      <c r="D25" s="162">
        <f>+D24+D18</f>
        <v>77734840.78499998</v>
      </c>
      <c r="E25" s="162">
        <f>+E24+E18</f>
        <v>35793067.690290004</v>
      </c>
      <c r="F25" s="51">
        <f aca="true" t="shared" si="27" ref="F25:AI25">+F24+F18</f>
        <v>3323926.09</v>
      </c>
      <c r="G25" s="107">
        <f t="shared" si="27"/>
        <v>3973010.706</v>
      </c>
      <c r="H25" s="78">
        <f t="shared" si="27"/>
        <v>7368348.415</v>
      </c>
      <c r="I25" s="78">
        <f>+I24+I18</f>
        <v>7892381</v>
      </c>
      <c r="J25" s="51">
        <f t="shared" si="27"/>
        <v>0</v>
      </c>
      <c r="K25" s="107">
        <f t="shared" si="27"/>
        <v>1962473.2230000002</v>
      </c>
      <c r="L25" s="111">
        <f t="shared" si="27"/>
        <v>1846241.2540000002</v>
      </c>
      <c r="M25" s="111">
        <f>+M24+M18</f>
        <v>0</v>
      </c>
      <c r="N25" s="51">
        <f t="shared" si="27"/>
        <v>0</v>
      </c>
      <c r="O25" s="78">
        <f t="shared" si="27"/>
        <v>241726.417</v>
      </c>
      <c r="P25" s="111">
        <f t="shared" si="27"/>
        <v>206875.38199999998</v>
      </c>
      <c r="Q25" s="111">
        <f>+Q24+Q18</f>
        <v>188683</v>
      </c>
      <c r="R25" s="51">
        <f>+R24+R18</f>
        <v>280014</v>
      </c>
      <c r="S25" s="107">
        <f>+S24+S18</f>
        <v>264389</v>
      </c>
      <c r="T25" s="80">
        <f t="shared" si="27"/>
        <v>506693</v>
      </c>
      <c r="U25" s="80">
        <f>+U24+U18</f>
        <v>932473</v>
      </c>
      <c r="V25" s="51">
        <f>+V24+V18</f>
        <v>0</v>
      </c>
      <c r="W25" s="51">
        <f>+W24+W18</f>
        <v>2803890.818</v>
      </c>
      <c r="X25" s="80">
        <f t="shared" si="27"/>
        <v>2899873.899</v>
      </c>
      <c r="Y25" s="80">
        <f>+Y24+Y18</f>
        <v>3486870</v>
      </c>
      <c r="Z25" s="51">
        <f>+Z24+Z18</f>
        <v>1562316.0891</v>
      </c>
      <c r="AA25" s="107">
        <f>+AA24+AA18</f>
        <v>0</v>
      </c>
      <c r="AB25" s="80">
        <f t="shared" si="27"/>
        <v>2050487</v>
      </c>
      <c r="AC25" s="107">
        <f t="shared" si="27"/>
        <v>0</v>
      </c>
      <c r="AD25" s="107">
        <f t="shared" si="27"/>
        <v>0</v>
      </c>
      <c r="AE25" s="111">
        <f t="shared" si="27"/>
        <v>0</v>
      </c>
      <c r="AF25" s="80">
        <f>+AF24+AF18</f>
        <v>4050559</v>
      </c>
      <c r="AG25" s="51">
        <f t="shared" si="27"/>
        <v>1001158.679</v>
      </c>
      <c r="AH25" s="122">
        <f t="shared" si="27"/>
        <v>1258762.88</v>
      </c>
      <c r="AI25" s="80">
        <f t="shared" si="27"/>
        <v>1139514.3360000001</v>
      </c>
      <c r="AJ25" s="80">
        <f>+AJ24+AJ18</f>
        <v>763570</v>
      </c>
      <c r="AK25" s="107">
        <f aca="true" t="shared" si="28" ref="AK25:AQ25">+AK24+AK18</f>
        <v>0</v>
      </c>
      <c r="AL25" s="107">
        <f t="shared" si="28"/>
        <v>0</v>
      </c>
      <c r="AM25" s="111">
        <f t="shared" si="28"/>
        <v>0</v>
      </c>
      <c r="AN25" s="111">
        <f>+AN24+AN18</f>
        <v>0</v>
      </c>
      <c r="AO25" s="107">
        <f t="shared" si="28"/>
        <v>0</v>
      </c>
      <c r="AP25" s="107">
        <f t="shared" si="28"/>
        <v>0</v>
      </c>
      <c r="AQ25" s="111">
        <f t="shared" si="28"/>
        <v>535550</v>
      </c>
      <c r="AR25" s="111">
        <f>+AR24+AR18</f>
        <v>556275</v>
      </c>
      <c r="AS25" s="51">
        <f>+AS24+AS18</f>
        <v>1988599</v>
      </c>
      <c r="AT25" s="107">
        <f>+AT24+AT18</f>
        <v>1800741</v>
      </c>
      <c r="AU25" s="185">
        <f>+AU24+AU18</f>
        <v>1063088</v>
      </c>
      <c r="AV25" s="185">
        <f>+AV24+AV18</f>
        <v>5747364</v>
      </c>
      <c r="AW25" s="51">
        <f aca="true" t="shared" si="29" ref="AW25:BT25">+AW24+AW18</f>
        <v>0</v>
      </c>
      <c r="AX25" s="107">
        <f t="shared" si="29"/>
        <v>129855</v>
      </c>
      <c r="AY25" s="78">
        <f t="shared" si="29"/>
        <v>186600</v>
      </c>
      <c r="AZ25" s="78">
        <f t="shared" si="29"/>
        <v>250387</v>
      </c>
      <c r="BA25" s="51">
        <f t="shared" si="29"/>
        <v>17155565</v>
      </c>
      <c r="BB25" s="107">
        <f t="shared" si="29"/>
        <v>18701693</v>
      </c>
      <c r="BC25" s="78">
        <f t="shared" si="29"/>
        <v>30045947</v>
      </c>
      <c r="BD25" s="78">
        <f t="shared" si="29"/>
        <v>31106106</v>
      </c>
      <c r="BE25" s="51">
        <f t="shared" si="29"/>
        <v>0</v>
      </c>
      <c r="BF25" s="107">
        <f t="shared" si="29"/>
        <v>1002454.4569999999</v>
      </c>
      <c r="BG25" s="78">
        <f t="shared" si="29"/>
        <v>936172.3069999999</v>
      </c>
      <c r="BH25" s="78">
        <f t="shared" si="29"/>
        <v>756563</v>
      </c>
      <c r="BI25" s="51">
        <f t="shared" si="29"/>
        <v>0</v>
      </c>
      <c r="BJ25" s="107">
        <f t="shared" si="29"/>
        <v>4661</v>
      </c>
      <c r="BK25" s="78">
        <f t="shared" si="29"/>
        <v>364198.364</v>
      </c>
      <c r="BL25" s="78">
        <f t="shared" si="29"/>
        <v>465460</v>
      </c>
      <c r="BM25" s="51">
        <f t="shared" si="29"/>
        <v>7430450</v>
      </c>
      <c r="BN25" s="107">
        <f t="shared" si="29"/>
        <v>17612064</v>
      </c>
      <c r="BO25" s="78">
        <f t="shared" si="29"/>
        <v>16945899</v>
      </c>
      <c r="BP25" s="78">
        <f t="shared" si="29"/>
        <v>17467599</v>
      </c>
      <c r="BQ25" s="107">
        <f t="shared" si="29"/>
        <v>0</v>
      </c>
      <c r="BR25" s="107">
        <f t="shared" si="29"/>
        <v>0</v>
      </c>
      <c r="BS25" s="111">
        <f t="shared" si="29"/>
        <v>936575</v>
      </c>
      <c r="BT25" s="111">
        <f t="shared" si="29"/>
        <v>1001773</v>
      </c>
      <c r="BU25" s="51">
        <f aca="true" t="shared" si="30" ref="BU25:CE25">+BU24+BU18</f>
        <v>265825.91502</v>
      </c>
      <c r="BV25" s="107">
        <f t="shared" si="30"/>
        <v>736183.6320000001</v>
      </c>
      <c r="BW25" s="78">
        <f t="shared" si="30"/>
        <v>755196.7069999999</v>
      </c>
      <c r="BX25" s="78">
        <f>+BX24+BX18</f>
        <v>793892</v>
      </c>
      <c r="BY25" s="107">
        <f t="shared" si="30"/>
        <v>437203.84</v>
      </c>
      <c r="BZ25" s="107">
        <f t="shared" si="30"/>
        <v>445791.145</v>
      </c>
      <c r="CA25" s="78">
        <f t="shared" si="30"/>
        <v>436010</v>
      </c>
      <c r="CB25" s="78">
        <f>+CB24+CB18</f>
        <v>502307</v>
      </c>
      <c r="CC25" s="107">
        <f t="shared" si="30"/>
        <v>0</v>
      </c>
      <c r="CD25" s="107">
        <f t="shared" si="30"/>
        <v>0</v>
      </c>
      <c r="CE25" s="78">
        <f t="shared" si="30"/>
        <v>540893</v>
      </c>
      <c r="CF25" s="78">
        <f>+CF24+CF18</f>
        <v>0</v>
      </c>
      <c r="CG25" s="51">
        <f>+CG24+CG18</f>
        <v>1395715.821</v>
      </c>
      <c r="CH25" s="107">
        <f>+CH24+CH18</f>
        <v>1278084.198</v>
      </c>
      <c r="CI25" s="78">
        <f>+CI24+CI18</f>
        <v>1122533.178</v>
      </c>
      <c r="CJ25" s="78">
        <f>+CJ24+CJ18</f>
        <v>1213558</v>
      </c>
      <c r="CK25" s="51">
        <f aca="true" t="shared" si="31" ref="CK25:DA25">+CK24+CK18</f>
        <v>0</v>
      </c>
      <c r="CL25" s="107">
        <f t="shared" si="31"/>
        <v>214416.513</v>
      </c>
      <c r="CM25" s="111">
        <f t="shared" si="31"/>
        <v>235466.49699999997</v>
      </c>
      <c r="CN25" s="111">
        <f>+CN24+CN18</f>
        <v>215405</v>
      </c>
      <c r="CO25" s="51">
        <f t="shared" si="31"/>
        <v>0</v>
      </c>
      <c r="CP25" s="107">
        <f t="shared" si="31"/>
        <v>418261.05799999996</v>
      </c>
      <c r="CQ25" s="78">
        <f t="shared" si="31"/>
        <v>0</v>
      </c>
      <c r="CR25" s="107">
        <f t="shared" si="31"/>
        <v>0</v>
      </c>
      <c r="CS25" s="107">
        <f t="shared" si="31"/>
        <v>0</v>
      </c>
      <c r="CT25" s="78">
        <f t="shared" si="31"/>
        <v>0</v>
      </c>
      <c r="CU25" s="78">
        <f>+CU24+CU18</f>
        <v>373281</v>
      </c>
      <c r="CV25" s="51">
        <f t="shared" si="31"/>
        <v>574224.865</v>
      </c>
      <c r="CW25" s="107">
        <f t="shared" si="31"/>
        <v>529026.341</v>
      </c>
      <c r="CX25" s="78">
        <f t="shared" si="31"/>
        <v>350307.06700000004</v>
      </c>
      <c r="CY25" s="78">
        <f>+CY24+CY18</f>
        <v>322018</v>
      </c>
      <c r="CZ25" s="51">
        <f t="shared" si="31"/>
        <v>0</v>
      </c>
      <c r="DA25" s="107">
        <f t="shared" si="31"/>
        <v>361878</v>
      </c>
      <c r="DB25" s="78">
        <f aca="true" t="shared" si="32" ref="DB25:DO25">+DB24+DB18</f>
        <v>1221069.504</v>
      </c>
      <c r="DC25" s="78">
        <f t="shared" si="32"/>
        <v>1489065</v>
      </c>
      <c r="DD25" s="51">
        <f t="shared" si="32"/>
        <v>1091737.08479</v>
      </c>
      <c r="DE25" s="107">
        <f t="shared" si="32"/>
        <v>1120423.104</v>
      </c>
      <c r="DF25" s="78">
        <f t="shared" si="32"/>
        <v>1402354.4930000002</v>
      </c>
      <c r="DG25" s="78">
        <f t="shared" si="32"/>
        <v>1295227</v>
      </c>
      <c r="DH25" s="107">
        <f t="shared" si="32"/>
        <v>0</v>
      </c>
      <c r="DI25" s="107">
        <f t="shared" si="32"/>
        <v>0</v>
      </c>
      <c r="DJ25" s="78">
        <f t="shared" si="32"/>
        <v>0</v>
      </c>
      <c r="DK25" s="78">
        <f t="shared" si="32"/>
        <v>0</v>
      </c>
      <c r="DL25" s="51">
        <f t="shared" si="32"/>
        <v>247957.95545</v>
      </c>
      <c r="DM25" s="107">
        <f t="shared" si="32"/>
        <v>0</v>
      </c>
      <c r="DN25" s="78">
        <f t="shared" si="32"/>
        <v>0</v>
      </c>
      <c r="DO25" s="78">
        <f t="shared" si="32"/>
        <v>0</v>
      </c>
      <c r="DP25" s="51">
        <f aca="true" t="shared" si="33" ref="DP25:FJ25">+DP24+DP18</f>
        <v>0</v>
      </c>
      <c r="DQ25" s="107">
        <f t="shared" si="33"/>
        <v>123328</v>
      </c>
      <c r="DR25" s="78">
        <f t="shared" si="33"/>
        <v>127705.984</v>
      </c>
      <c r="DS25" s="78">
        <f>+DS24+DS18</f>
        <v>123431</v>
      </c>
      <c r="DT25" s="51">
        <f t="shared" si="33"/>
        <v>0</v>
      </c>
      <c r="DU25" s="107">
        <f t="shared" si="33"/>
        <v>310564.17</v>
      </c>
      <c r="DV25" s="78">
        <f t="shared" si="33"/>
        <v>418946.41000000003</v>
      </c>
      <c r="DW25" s="78">
        <f>+DW24+DW18</f>
        <v>0</v>
      </c>
      <c r="DX25" s="51">
        <f t="shared" si="33"/>
        <v>0</v>
      </c>
      <c r="DY25" s="107">
        <f t="shared" si="33"/>
        <v>474736.409</v>
      </c>
      <c r="DZ25" s="78">
        <f t="shared" si="33"/>
        <v>448393.088</v>
      </c>
      <c r="EA25" s="78">
        <f>+EA24+EA18</f>
        <v>136152</v>
      </c>
      <c r="EB25" s="51">
        <f t="shared" si="33"/>
        <v>0</v>
      </c>
      <c r="EC25" s="107">
        <f t="shared" si="33"/>
        <v>1080747.355</v>
      </c>
      <c r="ED25" s="78">
        <f t="shared" si="33"/>
        <v>1376089</v>
      </c>
      <c r="EE25" s="78">
        <f>+EE24+EE18</f>
        <v>1531359</v>
      </c>
      <c r="EF25" s="51">
        <f t="shared" si="33"/>
        <v>912801.7860000001</v>
      </c>
      <c r="EG25" s="107">
        <f t="shared" si="33"/>
        <v>1104533.4649999999</v>
      </c>
      <c r="EH25" s="78">
        <f t="shared" si="33"/>
        <v>1521656.686</v>
      </c>
      <c r="EI25" s="78">
        <f>+EI24+EI18</f>
        <v>1798050</v>
      </c>
      <c r="EJ25" s="51">
        <f t="shared" si="33"/>
        <v>299345.81</v>
      </c>
      <c r="EK25" s="107">
        <f t="shared" si="33"/>
        <v>295219.64</v>
      </c>
      <c r="EL25" s="78">
        <f t="shared" si="33"/>
        <v>297488.12799999997</v>
      </c>
      <c r="EM25" s="78">
        <f>+EM24+EM18</f>
        <v>372978</v>
      </c>
      <c r="EN25" s="51">
        <f t="shared" si="33"/>
        <v>222097.83493</v>
      </c>
      <c r="EO25" s="107">
        <f t="shared" si="33"/>
        <v>195161.185</v>
      </c>
      <c r="EP25" s="78">
        <f t="shared" si="33"/>
        <v>193687.289</v>
      </c>
      <c r="EQ25" s="78">
        <f aca="true" t="shared" si="34" ref="EQ25:EW25">+EQ24+EQ18</f>
        <v>0</v>
      </c>
      <c r="ER25" s="107">
        <f t="shared" si="34"/>
        <v>0</v>
      </c>
      <c r="ES25" s="107">
        <f t="shared" si="34"/>
        <v>0</v>
      </c>
      <c r="ET25" s="78">
        <f t="shared" si="34"/>
        <v>275170.631</v>
      </c>
      <c r="EU25" s="78">
        <f t="shared" si="34"/>
        <v>574750</v>
      </c>
      <c r="EV25" s="51">
        <f t="shared" si="34"/>
        <v>507215.759</v>
      </c>
      <c r="EW25" s="107">
        <f t="shared" si="34"/>
        <v>463726.22400000005</v>
      </c>
      <c r="EX25" s="78">
        <f t="shared" si="33"/>
        <v>528258</v>
      </c>
      <c r="EY25" s="78">
        <f>+EY24+EY18</f>
        <v>795626</v>
      </c>
      <c r="EZ25" s="51">
        <f>+EZ24+EZ18</f>
        <v>0</v>
      </c>
      <c r="FA25" s="107">
        <f>+FA24+FA18</f>
        <v>545253.6429999999</v>
      </c>
      <c r="FB25" s="78">
        <f t="shared" si="33"/>
        <v>394021.16599999997</v>
      </c>
      <c r="FC25" s="78">
        <f>+FC24+FC18</f>
        <v>0</v>
      </c>
      <c r="FD25" s="51">
        <f t="shared" si="33"/>
        <v>160719</v>
      </c>
      <c r="FE25" s="107">
        <f t="shared" si="33"/>
        <v>0</v>
      </c>
      <c r="FF25" s="78">
        <f t="shared" si="33"/>
        <v>120619</v>
      </c>
      <c r="FG25" s="78">
        <f>+FG24+FG18</f>
        <v>0</v>
      </c>
      <c r="FH25" s="61">
        <f t="shared" si="33"/>
        <v>2248718.251</v>
      </c>
      <c r="FI25" s="107">
        <f t="shared" si="33"/>
        <v>0</v>
      </c>
      <c r="FJ25" s="78">
        <f t="shared" si="33"/>
        <v>0</v>
      </c>
      <c r="FK25" s="78">
        <f>+FK24+FK18</f>
        <v>3565856</v>
      </c>
      <c r="FL25" s="51"/>
      <c r="FM25" s="107">
        <f>+FM24+FM18</f>
        <v>0</v>
      </c>
      <c r="FN25" s="78">
        <f>+FN24+FN18</f>
        <v>0</v>
      </c>
      <c r="FO25" s="78">
        <f>+FO24+FO18</f>
        <v>422233</v>
      </c>
      <c r="FQ25" t="s">
        <v>154</v>
      </c>
    </row>
    <row r="26" spans="1:171" ht="12.75">
      <c r="A26" s="53" t="s">
        <v>29</v>
      </c>
      <c r="B26" s="50"/>
      <c r="C26" s="50"/>
      <c r="D26" s="163"/>
      <c r="E26" s="163"/>
      <c r="F26" s="50"/>
      <c r="G26" s="106"/>
      <c r="H26" s="77"/>
      <c r="I26" s="77"/>
      <c r="J26" s="50"/>
      <c r="K26" s="106"/>
      <c r="L26" s="110"/>
      <c r="M26" s="110"/>
      <c r="N26" s="50"/>
      <c r="O26" s="78"/>
      <c r="P26" s="110"/>
      <c r="Q26" s="110"/>
      <c r="R26" s="50"/>
      <c r="S26" s="114"/>
      <c r="T26" s="77"/>
      <c r="U26" s="77"/>
      <c r="V26" s="50"/>
      <c r="W26" s="50"/>
      <c r="X26" s="77"/>
      <c r="Y26" s="77"/>
      <c r="Z26" s="50"/>
      <c r="AA26" s="114"/>
      <c r="AB26" s="77"/>
      <c r="AC26" s="114"/>
      <c r="AD26" s="114"/>
      <c r="AE26" s="134"/>
      <c r="AF26" s="77"/>
      <c r="AG26" s="50"/>
      <c r="AH26" s="123"/>
      <c r="AI26" s="77"/>
      <c r="AJ26" s="77"/>
      <c r="AK26" s="114"/>
      <c r="AL26" s="114"/>
      <c r="AM26" s="134"/>
      <c r="AN26" s="134"/>
      <c r="AO26" s="114"/>
      <c r="AP26" s="114"/>
      <c r="AQ26" s="134"/>
      <c r="AR26" s="134"/>
      <c r="AS26" s="50"/>
      <c r="AT26" s="130"/>
      <c r="AU26" s="183"/>
      <c r="AV26" s="183"/>
      <c r="AW26" s="50"/>
      <c r="AX26" s="114"/>
      <c r="AY26" s="77"/>
      <c r="AZ26" s="77"/>
      <c r="BA26" s="50"/>
      <c r="BB26" s="114"/>
      <c r="BC26" s="77"/>
      <c r="BD26" s="77"/>
      <c r="BE26" s="50"/>
      <c r="BF26" s="114"/>
      <c r="BG26" s="77"/>
      <c r="BH26" s="77"/>
      <c r="BI26" s="50"/>
      <c r="BJ26" s="114"/>
      <c r="BK26" s="77"/>
      <c r="BL26" s="77"/>
      <c r="BM26" s="50"/>
      <c r="BN26" s="114"/>
      <c r="BO26" s="77"/>
      <c r="BP26" s="77"/>
      <c r="BQ26" s="114"/>
      <c r="BR26" s="114"/>
      <c r="BS26" s="134"/>
      <c r="BT26" s="134"/>
      <c r="BU26" s="50"/>
      <c r="BV26" s="114"/>
      <c r="BW26" s="77"/>
      <c r="BX26" s="77"/>
      <c r="BY26" s="125"/>
      <c r="BZ26" s="125"/>
      <c r="CA26" s="77"/>
      <c r="CB26" s="77"/>
      <c r="CC26" s="125"/>
      <c r="CD26" s="125"/>
      <c r="CE26" s="77"/>
      <c r="CF26" s="77"/>
      <c r="CG26" s="50"/>
      <c r="CH26" s="114"/>
      <c r="CI26" s="77"/>
      <c r="CJ26" s="77"/>
      <c r="CK26" s="50"/>
      <c r="CL26" s="125"/>
      <c r="CM26" s="127"/>
      <c r="CN26" s="127"/>
      <c r="CO26" s="50"/>
      <c r="CP26" s="125"/>
      <c r="CQ26" s="77"/>
      <c r="CR26" s="125"/>
      <c r="CS26" s="125"/>
      <c r="CT26" s="77"/>
      <c r="CU26" s="77"/>
      <c r="CV26" s="50"/>
      <c r="CW26" s="125"/>
      <c r="CX26" s="77"/>
      <c r="CY26" s="77"/>
      <c r="CZ26" s="50"/>
      <c r="DA26" s="125"/>
      <c r="DB26" s="77"/>
      <c r="DC26" s="77"/>
      <c r="DD26" s="50"/>
      <c r="DE26" s="114"/>
      <c r="DF26" s="77"/>
      <c r="DG26" s="77"/>
      <c r="DH26" s="125"/>
      <c r="DI26" s="125"/>
      <c r="DJ26" s="77"/>
      <c r="DK26" s="77"/>
      <c r="DL26" s="50"/>
      <c r="DM26" s="125"/>
      <c r="DN26" s="77"/>
      <c r="DO26" s="77"/>
      <c r="DP26" s="50"/>
      <c r="DQ26" s="125"/>
      <c r="DR26" s="77"/>
      <c r="DS26" s="77"/>
      <c r="DT26" s="50"/>
      <c r="DU26" s="125"/>
      <c r="DV26" s="77"/>
      <c r="DW26" s="77"/>
      <c r="DX26" s="50"/>
      <c r="DY26" s="125"/>
      <c r="DZ26" s="77"/>
      <c r="EA26" s="77"/>
      <c r="EB26" s="50"/>
      <c r="EC26" s="130"/>
      <c r="ED26" s="77">
        <v>0</v>
      </c>
      <c r="EE26" s="77">
        <v>0</v>
      </c>
      <c r="EF26" s="50"/>
      <c r="EG26" s="125"/>
      <c r="EH26" s="77"/>
      <c r="EI26" s="77"/>
      <c r="EJ26" s="50"/>
      <c r="EK26" s="125"/>
      <c r="EL26" s="77"/>
      <c r="EM26" s="77"/>
      <c r="EN26" s="50"/>
      <c r="EO26" s="125"/>
      <c r="EP26" s="77"/>
      <c r="EQ26" s="77"/>
      <c r="ER26" s="131"/>
      <c r="ES26" s="131"/>
      <c r="ET26" s="77"/>
      <c r="EU26" s="77"/>
      <c r="EV26" s="50"/>
      <c r="EW26" s="131"/>
      <c r="EX26" s="77"/>
      <c r="EY26" s="77"/>
      <c r="EZ26" s="50"/>
      <c r="FA26" s="131"/>
      <c r="FB26" s="77"/>
      <c r="FC26" s="77"/>
      <c r="FD26" s="50"/>
      <c r="FE26" s="131"/>
      <c r="FF26" s="77"/>
      <c r="FG26" s="77"/>
      <c r="FH26" s="60"/>
      <c r="FI26" s="179"/>
      <c r="FJ26" s="77"/>
      <c r="FK26" s="77"/>
      <c r="FL26" s="50"/>
      <c r="FM26" s="179"/>
      <c r="FN26" s="77"/>
      <c r="FO26" s="77"/>
    </row>
    <row r="27" spans="1:171" ht="12.75">
      <c r="A27" s="53" t="s">
        <v>30</v>
      </c>
      <c r="B27" s="50"/>
      <c r="C27" s="50"/>
      <c r="D27" s="163"/>
      <c r="E27" s="163"/>
      <c r="F27" s="50"/>
      <c r="G27" s="106"/>
      <c r="H27" s="77"/>
      <c r="I27" s="77"/>
      <c r="J27" s="50"/>
      <c r="K27" s="106"/>
      <c r="L27" s="110"/>
      <c r="M27" s="110"/>
      <c r="N27" s="50"/>
      <c r="O27" s="78"/>
      <c r="P27" s="110"/>
      <c r="Q27" s="110"/>
      <c r="R27" s="50"/>
      <c r="S27" s="114"/>
      <c r="T27" s="77"/>
      <c r="U27" s="77"/>
      <c r="V27" s="50"/>
      <c r="W27" s="50"/>
      <c r="X27" s="77"/>
      <c r="Y27" s="77"/>
      <c r="Z27" s="50"/>
      <c r="AA27" s="114"/>
      <c r="AB27" s="77"/>
      <c r="AC27" s="114"/>
      <c r="AD27" s="114"/>
      <c r="AE27" s="134"/>
      <c r="AF27" s="77"/>
      <c r="AG27" s="50"/>
      <c r="AH27" s="123"/>
      <c r="AI27" s="77"/>
      <c r="AJ27" s="77"/>
      <c r="AK27" s="114"/>
      <c r="AL27" s="114"/>
      <c r="AM27" s="134"/>
      <c r="AN27" s="134"/>
      <c r="AO27" s="114"/>
      <c r="AP27" s="114"/>
      <c r="AQ27" s="134"/>
      <c r="AR27" s="134"/>
      <c r="AS27" s="50"/>
      <c r="AT27" s="130"/>
      <c r="AU27" s="183"/>
      <c r="AV27" s="183"/>
      <c r="AW27" s="50"/>
      <c r="AX27" s="114"/>
      <c r="AY27" s="77"/>
      <c r="AZ27" s="77"/>
      <c r="BA27" s="50"/>
      <c r="BB27" s="114"/>
      <c r="BC27" s="77"/>
      <c r="BD27" s="77"/>
      <c r="BE27" s="50"/>
      <c r="BF27" s="114"/>
      <c r="BG27" s="77"/>
      <c r="BH27" s="77"/>
      <c r="BI27" s="50"/>
      <c r="BJ27" s="114"/>
      <c r="BK27" s="77"/>
      <c r="BL27" s="77"/>
      <c r="BM27" s="50"/>
      <c r="BN27" s="114"/>
      <c r="BO27" s="77"/>
      <c r="BP27" s="77"/>
      <c r="BQ27" s="114"/>
      <c r="BR27" s="114"/>
      <c r="BS27" s="134"/>
      <c r="BT27" s="134"/>
      <c r="BU27" s="50"/>
      <c r="BV27" s="114"/>
      <c r="BW27" s="77"/>
      <c r="BX27" s="77"/>
      <c r="BY27" s="125"/>
      <c r="BZ27" s="125"/>
      <c r="CA27" s="77"/>
      <c r="CB27" s="77"/>
      <c r="CC27" s="125"/>
      <c r="CD27" s="125"/>
      <c r="CE27" s="77"/>
      <c r="CF27" s="77"/>
      <c r="CG27" s="50"/>
      <c r="CH27" s="114"/>
      <c r="CI27" s="77"/>
      <c r="CJ27" s="77"/>
      <c r="CK27" s="50"/>
      <c r="CL27" s="125"/>
      <c r="CM27" s="127"/>
      <c r="CN27" s="127"/>
      <c r="CO27" s="63"/>
      <c r="CP27" s="125"/>
      <c r="CQ27" s="77"/>
      <c r="CR27" s="125"/>
      <c r="CS27" s="125"/>
      <c r="CT27" s="77"/>
      <c r="CU27" s="77"/>
      <c r="CV27" s="50"/>
      <c r="CW27" s="125"/>
      <c r="CX27" s="77"/>
      <c r="CY27" s="77"/>
      <c r="CZ27" s="50"/>
      <c r="DA27" s="125"/>
      <c r="DB27" s="77"/>
      <c r="DC27" s="77"/>
      <c r="DD27" s="50"/>
      <c r="DE27" s="114"/>
      <c r="DF27" s="77"/>
      <c r="DG27" s="77"/>
      <c r="DH27" s="125"/>
      <c r="DI27" s="125"/>
      <c r="DJ27" s="77"/>
      <c r="DK27" s="77"/>
      <c r="DL27" s="50"/>
      <c r="DM27" s="125"/>
      <c r="DN27" s="77"/>
      <c r="DO27" s="77"/>
      <c r="DP27" s="50"/>
      <c r="DQ27" s="125"/>
      <c r="DR27" s="77"/>
      <c r="DS27" s="77"/>
      <c r="DT27" s="50"/>
      <c r="DU27" s="125"/>
      <c r="DV27" s="77"/>
      <c r="DW27" s="77"/>
      <c r="DX27" s="50"/>
      <c r="DY27" s="125"/>
      <c r="DZ27" s="77"/>
      <c r="EA27" s="77"/>
      <c r="EB27" s="50"/>
      <c r="EC27" s="130"/>
      <c r="ED27" s="77"/>
      <c r="EE27" s="77"/>
      <c r="EF27" s="50"/>
      <c r="EG27" s="125"/>
      <c r="EH27" s="77"/>
      <c r="EI27" s="77"/>
      <c r="EJ27" s="50"/>
      <c r="EK27" s="125"/>
      <c r="EL27" s="77"/>
      <c r="EM27" s="77"/>
      <c r="EN27" s="50"/>
      <c r="EO27" s="125"/>
      <c r="EP27" s="77"/>
      <c r="EQ27" s="77"/>
      <c r="ER27" s="131"/>
      <c r="ES27" s="131"/>
      <c r="ET27" s="77"/>
      <c r="EU27" s="77"/>
      <c r="EV27" s="50"/>
      <c r="EW27" s="131"/>
      <c r="EX27" s="77"/>
      <c r="EY27" s="77"/>
      <c r="EZ27" s="50"/>
      <c r="FA27" s="131"/>
      <c r="FB27" s="77"/>
      <c r="FC27" s="77"/>
      <c r="FD27" s="50"/>
      <c r="FE27" s="131"/>
      <c r="FF27" s="77"/>
      <c r="FG27" s="77"/>
      <c r="FH27" s="60"/>
      <c r="FI27" s="179"/>
      <c r="FJ27" s="77"/>
      <c r="FK27" s="77"/>
      <c r="FL27" s="50"/>
      <c r="FM27" s="179"/>
      <c r="FN27" s="77"/>
      <c r="FO27" s="77"/>
    </row>
    <row r="28" spans="1:171" ht="12.75">
      <c r="A28" s="52" t="s">
        <v>31</v>
      </c>
      <c r="B28" s="50">
        <f aca="true" t="shared" si="35" ref="B28:D29">F28+J28+N28+R28+V28+Z28+AC28+AG28+AK28+AO28+AW28+BA28+BE28+BI28+BM28+BQ28+BU28+BY28+CC28+CG28+CK28+CO28+CR28+CV28+CZ28+DD28+DH28+DL28+DP28+DT28+DX28+EB28+EF28+EJ28+EN28+ER28+EV28+EZ28+FD28</f>
        <v>49919885.689519994</v>
      </c>
      <c r="C28" s="50">
        <f t="shared" si="35"/>
        <v>56214789.66300001</v>
      </c>
      <c r="D28" s="161">
        <f t="shared" si="35"/>
        <v>66153683.97799999</v>
      </c>
      <c r="E28" s="161">
        <f>J28+N28+R28+V28+Z28+AC28+AG28+AK28+AO28+AW28+BA28+BE28+BI28+BM28+BQ28+BU28+BY28+CC28+CG28+CK28+CO28+CR28+CV28+CZ28+DD28+DH28+DL28+DP28+DT28+DX28+EB28+EF28+EJ28+EN28+ER28+EV28+EZ28+FD28+FH28</f>
        <v>51999268.08852</v>
      </c>
      <c r="F28" s="50">
        <v>3015844.935</v>
      </c>
      <c r="G28" s="106">
        <v>3173342.955</v>
      </c>
      <c r="H28" s="77">
        <v>3198769.564</v>
      </c>
      <c r="I28" s="77">
        <v>3424565</v>
      </c>
      <c r="J28" s="50">
        <v>0</v>
      </c>
      <c r="K28" s="106">
        <v>2054048.776</v>
      </c>
      <c r="L28" s="110">
        <v>2486787.539</v>
      </c>
      <c r="M28" s="110"/>
      <c r="N28" s="50">
        <v>0</v>
      </c>
      <c r="O28" s="77">
        <v>370287.178</v>
      </c>
      <c r="P28" s="110">
        <v>387550.596</v>
      </c>
      <c r="Q28" s="110">
        <v>498825</v>
      </c>
      <c r="R28" s="50">
        <v>852896</v>
      </c>
      <c r="S28" s="114">
        <v>834984</v>
      </c>
      <c r="T28" s="77">
        <v>708238</v>
      </c>
      <c r="U28" s="77">
        <v>1477485</v>
      </c>
      <c r="V28" s="50">
        <v>0</v>
      </c>
      <c r="W28" s="50">
        <v>0</v>
      </c>
      <c r="X28" s="77">
        <v>2126199</v>
      </c>
      <c r="Y28" s="77">
        <v>2379937</v>
      </c>
      <c r="Z28" s="50">
        <v>959763.4941</v>
      </c>
      <c r="AA28" s="114">
        <v>0</v>
      </c>
      <c r="AB28" s="77">
        <v>2098000</v>
      </c>
      <c r="AC28" s="114">
        <v>0</v>
      </c>
      <c r="AD28" s="114">
        <v>0</v>
      </c>
      <c r="AE28" s="134">
        <v>0</v>
      </c>
      <c r="AF28" s="77">
        <v>10561238</v>
      </c>
      <c r="AG28" s="50">
        <v>730274.963</v>
      </c>
      <c r="AH28" s="123">
        <v>687295.621</v>
      </c>
      <c r="AI28" s="77">
        <v>592235.578</v>
      </c>
      <c r="AJ28" s="77">
        <v>517863</v>
      </c>
      <c r="AK28" s="114">
        <v>0</v>
      </c>
      <c r="AL28" s="114">
        <v>0</v>
      </c>
      <c r="AM28" s="134">
        <v>0</v>
      </c>
      <c r="AN28" s="134">
        <v>0</v>
      </c>
      <c r="AO28" s="114">
        <v>0</v>
      </c>
      <c r="AP28" s="114">
        <v>0</v>
      </c>
      <c r="AQ28" s="134">
        <v>1068875</v>
      </c>
      <c r="AR28" s="134">
        <v>1227779</v>
      </c>
      <c r="AS28" s="50">
        <v>221055</v>
      </c>
      <c r="AT28" s="130">
        <v>333455</v>
      </c>
      <c r="AU28" s="183">
        <v>383226</v>
      </c>
      <c r="AV28" s="183">
        <v>11183270</v>
      </c>
      <c r="AW28" s="50">
        <v>0</v>
      </c>
      <c r="AX28" s="114">
        <v>26400</v>
      </c>
      <c r="AY28" s="77">
        <v>84000</v>
      </c>
      <c r="AZ28" s="77">
        <v>2086187</v>
      </c>
      <c r="BA28" s="50">
        <v>23633690</v>
      </c>
      <c r="BB28" s="114">
        <f>18191535+2375771</f>
        <v>20567306</v>
      </c>
      <c r="BC28" s="77">
        <f>17511971+2414082</f>
        <v>19926053</v>
      </c>
      <c r="BD28" s="77">
        <v>26664547</v>
      </c>
      <c r="BE28" s="50">
        <v>0</v>
      </c>
      <c r="BF28" s="114">
        <v>766859</v>
      </c>
      <c r="BG28" s="77">
        <v>1330572.55</v>
      </c>
      <c r="BH28" s="77">
        <v>1309320</v>
      </c>
      <c r="BI28" s="50">
        <v>0</v>
      </c>
      <c r="BJ28" s="114">
        <v>32541</v>
      </c>
      <c r="BK28" s="77">
        <v>200220.504</v>
      </c>
      <c r="BL28" s="77">
        <v>943477</v>
      </c>
      <c r="BM28" s="50">
        <v>12630351</v>
      </c>
      <c r="BN28" s="114">
        <v>12972564</v>
      </c>
      <c r="BO28" s="77">
        <v>13974231</v>
      </c>
      <c r="BP28" s="77">
        <v>13870815</v>
      </c>
      <c r="BQ28" s="114">
        <v>0</v>
      </c>
      <c r="BR28" s="114">
        <v>0</v>
      </c>
      <c r="BS28" s="134">
        <v>654422</v>
      </c>
      <c r="BT28" s="134">
        <v>407136</v>
      </c>
      <c r="BU28" s="50">
        <v>50188.584</v>
      </c>
      <c r="BV28" s="114">
        <f>244697.927</f>
        <v>244697.927</v>
      </c>
      <c r="BW28" s="77">
        <v>447959.185</v>
      </c>
      <c r="BX28" s="77">
        <v>468833</v>
      </c>
      <c r="BY28" s="125">
        <v>595173</v>
      </c>
      <c r="BZ28" s="125">
        <v>737590</v>
      </c>
      <c r="CA28" s="77">
        <v>603873</v>
      </c>
      <c r="CB28" s="77">
        <v>866103</v>
      </c>
      <c r="CC28" s="125">
        <v>0</v>
      </c>
      <c r="CD28" s="125">
        <v>0</v>
      </c>
      <c r="CE28" s="77">
        <v>668061</v>
      </c>
      <c r="CF28" s="77"/>
      <c r="CG28" s="50">
        <v>1854810.335</v>
      </c>
      <c r="CH28" s="114">
        <v>1523883.162</v>
      </c>
      <c r="CI28" s="77">
        <v>1636012.721</v>
      </c>
      <c r="CJ28" s="77">
        <f>1502465+68816</f>
        <v>1571281</v>
      </c>
      <c r="CK28" s="50">
        <v>0</v>
      </c>
      <c r="CL28" s="125">
        <v>220670.46</v>
      </c>
      <c r="CM28" s="127">
        <v>243456.8</v>
      </c>
      <c r="CN28" s="127">
        <v>351034</v>
      </c>
      <c r="CO28" s="63">
        <v>0</v>
      </c>
      <c r="CP28" s="125">
        <v>0</v>
      </c>
      <c r="CQ28" s="77">
        <v>0</v>
      </c>
      <c r="CR28" s="125">
        <v>0</v>
      </c>
      <c r="CS28" s="125">
        <v>0</v>
      </c>
      <c r="CT28" s="77">
        <v>0</v>
      </c>
      <c r="CU28" s="77">
        <v>1032969</v>
      </c>
      <c r="CV28" s="50">
        <v>500933</v>
      </c>
      <c r="CW28" s="125">
        <v>628062.492</v>
      </c>
      <c r="CX28" s="77">
        <v>264424.951</v>
      </c>
      <c r="CY28" s="77">
        <v>305741</v>
      </c>
      <c r="CZ28" s="50">
        <v>0</v>
      </c>
      <c r="DA28" s="125">
        <v>1139781</v>
      </c>
      <c r="DB28" s="77">
        <v>1379038</v>
      </c>
      <c r="DC28" s="77">
        <v>1427832</v>
      </c>
      <c r="DD28" s="50">
        <v>1708516.57318</v>
      </c>
      <c r="DE28" s="114">
        <v>1289350.65</v>
      </c>
      <c r="DF28" s="77">
        <v>1423687.69</v>
      </c>
      <c r="DG28" s="77">
        <v>1139027</v>
      </c>
      <c r="DH28" s="125">
        <v>0</v>
      </c>
      <c r="DI28" s="125">
        <v>0</v>
      </c>
      <c r="DJ28" s="77">
        <v>0</v>
      </c>
      <c r="DK28" s="77">
        <v>0</v>
      </c>
      <c r="DL28" s="50">
        <v>437223.5</v>
      </c>
      <c r="DM28" s="125">
        <v>0</v>
      </c>
      <c r="DN28" s="77">
        <v>0</v>
      </c>
      <c r="DO28" s="77">
        <v>0</v>
      </c>
      <c r="DP28" s="50">
        <v>0</v>
      </c>
      <c r="DQ28" s="125">
        <v>366785.909</v>
      </c>
      <c r="DR28" s="77">
        <v>115020</v>
      </c>
      <c r="DS28" s="77">
        <v>63500</v>
      </c>
      <c r="DT28" s="50">
        <v>0</v>
      </c>
      <c r="DU28" s="125">
        <v>283123</v>
      </c>
      <c r="DV28" s="77">
        <v>425386.25</v>
      </c>
      <c r="DW28" s="77"/>
      <c r="DX28" s="50">
        <v>0</v>
      </c>
      <c r="DY28" s="125">
        <v>393363.181</v>
      </c>
      <c r="DZ28" s="77">
        <v>598331.215</v>
      </c>
      <c r="EA28" s="77">
        <v>810205</v>
      </c>
      <c r="EB28" s="50">
        <v>0</v>
      </c>
      <c r="EC28" s="130">
        <v>2425061.905</v>
      </c>
      <c r="ED28" s="77">
        <v>2411653.624</v>
      </c>
      <c r="EE28" s="77">
        <v>2177651</v>
      </c>
      <c r="EF28" s="50">
        <v>2055339.336</v>
      </c>
      <c r="EG28" s="125">
        <v>2539295.971</v>
      </c>
      <c r="EH28" s="77">
        <v>2974384.087</v>
      </c>
      <c r="EI28" s="77">
        <v>3917071</v>
      </c>
      <c r="EJ28" s="50">
        <v>467712.5</v>
      </c>
      <c r="EK28" s="125">
        <v>655243.5</v>
      </c>
      <c r="EL28" s="77">
        <v>680573.124</v>
      </c>
      <c r="EM28" s="77">
        <v>972935</v>
      </c>
      <c r="EN28" s="50">
        <v>20240.75724</v>
      </c>
      <c r="EO28" s="125">
        <v>0</v>
      </c>
      <c r="EP28" s="77">
        <v>0</v>
      </c>
      <c r="EQ28" s="77">
        <v>0</v>
      </c>
      <c r="ER28" s="131">
        <v>0</v>
      </c>
      <c r="ES28" s="131">
        <v>0</v>
      </c>
      <c r="ET28" s="77">
        <v>959547</v>
      </c>
      <c r="EU28" s="77">
        <v>1097074</v>
      </c>
      <c r="EV28" s="50">
        <v>383088.962</v>
      </c>
      <c r="EW28" s="131">
        <v>1455335.976</v>
      </c>
      <c r="EX28" s="77">
        <v>1966225</v>
      </c>
      <c r="EY28" s="77">
        <v>3105424</v>
      </c>
      <c r="EZ28" s="50">
        <v>0</v>
      </c>
      <c r="FA28" s="131">
        <v>826916</v>
      </c>
      <c r="FB28" s="77">
        <v>519896</v>
      </c>
      <c r="FC28" s="77"/>
      <c r="FD28" s="50">
        <f>10218.75+13620</f>
        <v>23838.75</v>
      </c>
      <c r="FE28" s="131">
        <v>0</v>
      </c>
      <c r="FF28" s="77">
        <v>0</v>
      </c>
      <c r="FG28" s="77">
        <v>0</v>
      </c>
      <c r="FH28" s="60">
        <v>5095227.334</v>
      </c>
      <c r="FI28" s="179">
        <v>0</v>
      </c>
      <c r="FJ28" s="77">
        <v>0</v>
      </c>
      <c r="FK28" s="77">
        <v>8564092</v>
      </c>
      <c r="FL28" s="50"/>
      <c r="FM28" s="179">
        <v>0</v>
      </c>
      <c r="FN28" s="77">
        <v>0</v>
      </c>
      <c r="FO28" s="77">
        <v>425606</v>
      </c>
    </row>
    <row r="29" spans="1:174" ht="12.75">
      <c r="A29" s="52" t="s">
        <v>32</v>
      </c>
      <c r="B29" s="50">
        <f t="shared" si="35"/>
        <v>3510698.7669100002</v>
      </c>
      <c r="C29" s="50">
        <f t="shared" si="35"/>
        <v>3786242.992</v>
      </c>
      <c r="D29" s="161">
        <f t="shared" si="35"/>
        <v>1318567.5379999997</v>
      </c>
      <c r="E29" s="161">
        <f>J29+N29+R29+V29+Z29+AC29+AG29+AK29+AO29+AW29+BA29+BE29+BI29+BM29+BQ29+BU29+BY29+CC29+CG29+CK29+CO29+CR29+CV29+CZ29+DD29+DH29+DL29+DP29+DT29+DX29+EB29+EF29+EJ29+EN29+ER29+EV29+EZ29+FD29+FH29</f>
        <v>3761179.2169100004</v>
      </c>
      <c r="F29" s="50">
        <v>126667.201</v>
      </c>
      <c r="G29" s="106">
        <v>315474.19</v>
      </c>
      <c r="H29" s="77">
        <v>326609.21</v>
      </c>
      <c r="I29" s="77">
        <v>92671</v>
      </c>
      <c r="J29" s="50">
        <v>0</v>
      </c>
      <c r="K29" s="106">
        <v>0</v>
      </c>
      <c r="L29" s="110">
        <v>0</v>
      </c>
      <c r="M29" s="110">
        <v>0</v>
      </c>
      <c r="N29" s="50">
        <v>0</v>
      </c>
      <c r="O29" s="77">
        <v>0</v>
      </c>
      <c r="P29" s="110">
        <v>0</v>
      </c>
      <c r="Q29" s="110">
        <v>0</v>
      </c>
      <c r="R29" s="50">
        <v>0</v>
      </c>
      <c r="S29" s="114">
        <v>758</v>
      </c>
      <c r="T29" s="77">
        <v>1940</v>
      </c>
      <c r="U29" s="77">
        <v>6079</v>
      </c>
      <c r="V29" s="50">
        <v>0</v>
      </c>
      <c r="W29" s="50">
        <v>0</v>
      </c>
      <c r="X29" s="77">
        <v>1784</v>
      </c>
      <c r="Y29" s="77">
        <v>0</v>
      </c>
      <c r="Z29" s="50">
        <v>0</v>
      </c>
      <c r="AA29" s="114">
        <v>0</v>
      </c>
      <c r="AB29" s="77"/>
      <c r="AC29" s="114">
        <v>0</v>
      </c>
      <c r="AD29" s="114">
        <v>0</v>
      </c>
      <c r="AE29" s="134">
        <v>0</v>
      </c>
      <c r="AF29" s="77"/>
      <c r="AG29" s="50">
        <v>2809.75171</v>
      </c>
      <c r="AH29" s="123">
        <v>296.388</v>
      </c>
      <c r="AI29" s="77">
        <v>813.041</v>
      </c>
      <c r="AJ29" s="77">
        <v>1653</v>
      </c>
      <c r="AK29" s="114">
        <v>0</v>
      </c>
      <c r="AL29" s="114">
        <v>0</v>
      </c>
      <c r="AM29" s="134">
        <v>0</v>
      </c>
      <c r="AN29" s="134">
        <v>0</v>
      </c>
      <c r="AO29" s="114">
        <v>0</v>
      </c>
      <c r="AP29" s="114">
        <v>0</v>
      </c>
      <c r="AQ29" s="134"/>
      <c r="AR29" s="134">
        <v>5959</v>
      </c>
      <c r="AS29" s="50">
        <v>7008</v>
      </c>
      <c r="AT29" s="130">
        <v>21958</v>
      </c>
      <c r="AU29" s="183">
        <v>4616</v>
      </c>
      <c r="AV29" s="183">
        <v>24531</v>
      </c>
      <c r="AW29" s="50">
        <v>0</v>
      </c>
      <c r="AX29" s="114">
        <v>0</v>
      </c>
      <c r="AY29" s="77">
        <v>0</v>
      </c>
      <c r="AZ29" s="77">
        <v>0</v>
      </c>
      <c r="BA29" s="50">
        <f>2519868+563777</f>
        <v>3083645</v>
      </c>
      <c r="BB29" s="114">
        <v>1734508</v>
      </c>
      <c r="BC29" s="77">
        <v>103858</v>
      </c>
      <c r="BD29" s="77">
        <v>3088278</v>
      </c>
      <c r="BE29" s="50">
        <v>0</v>
      </c>
      <c r="BF29" s="114">
        <v>0</v>
      </c>
      <c r="BG29" s="77">
        <v>1535.86</v>
      </c>
      <c r="BH29" s="77"/>
      <c r="BI29" s="50">
        <v>0</v>
      </c>
      <c r="BJ29" s="114">
        <v>0</v>
      </c>
      <c r="BK29" s="77">
        <v>0</v>
      </c>
      <c r="BL29" s="77">
        <v>0</v>
      </c>
      <c r="BM29" s="50">
        <v>86748</v>
      </c>
      <c r="BN29" s="114">
        <v>1600034</v>
      </c>
      <c r="BO29" s="77">
        <v>636079</v>
      </c>
      <c r="BP29" s="77">
        <v>664183</v>
      </c>
      <c r="BQ29" s="114">
        <v>0</v>
      </c>
      <c r="BR29" s="114">
        <v>0</v>
      </c>
      <c r="BS29" s="134">
        <v>48</v>
      </c>
      <c r="BT29" s="134">
        <v>1870</v>
      </c>
      <c r="BU29" s="50">
        <v>109600</v>
      </c>
      <c r="BV29" s="114">
        <v>0</v>
      </c>
      <c r="BW29" s="77">
        <v>0</v>
      </c>
      <c r="BX29" s="77">
        <v>0</v>
      </c>
      <c r="BY29" s="125">
        <v>3216.398</v>
      </c>
      <c r="BZ29" s="125">
        <v>542.288</v>
      </c>
      <c r="CA29" s="77">
        <v>2724</v>
      </c>
      <c r="CB29" s="77">
        <v>968</v>
      </c>
      <c r="CC29" s="125">
        <v>0</v>
      </c>
      <c r="CD29" s="125">
        <v>0</v>
      </c>
      <c r="CE29" s="77">
        <v>5797</v>
      </c>
      <c r="CF29" s="77"/>
      <c r="CG29" s="50">
        <v>45695.978</v>
      </c>
      <c r="CH29" s="114">
        <v>84548.591</v>
      </c>
      <c r="CI29" s="77">
        <v>48677.091</v>
      </c>
      <c r="CJ29" s="77">
        <v>52476</v>
      </c>
      <c r="CK29" s="50">
        <v>0</v>
      </c>
      <c r="CL29" s="125">
        <v>0</v>
      </c>
      <c r="CM29" s="127"/>
      <c r="CN29" s="127"/>
      <c r="CO29" s="63">
        <v>0</v>
      </c>
      <c r="CP29" s="125">
        <v>0</v>
      </c>
      <c r="CQ29" s="77">
        <v>0</v>
      </c>
      <c r="CR29" s="125">
        <v>0</v>
      </c>
      <c r="CS29" s="125">
        <v>0</v>
      </c>
      <c r="CT29" s="77">
        <v>0</v>
      </c>
      <c r="CU29" s="77">
        <v>0</v>
      </c>
      <c r="CV29" s="50">
        <v>1804</v>
      </c>
      <c r="CW29" s="125">
        <v>520.09</v>
      </c>
      <c r="CX29" s="77">
        <v>261.285</v>
      </c>
      <c r="CY29" s="77"/>
      <c r="CZ29" s="50">
        <v>0</v>
      </c>
      <c r="DA29" s="125">
        <v>0</v>
      </c>
      <c r="DB29" s="77">
        <v>0</v>
      </c>
      <c r="DC29" s="77">
        <v>0</v>
      </c>
      <c r="DD29" s="50">
        <v>356.5262</v>
      </c>
      <c r="DE29" s="114">
        <v>1783.262</v>
      </c>
      <c r="DF29" s="77">
        <v>107736.747</v>
      </c>
      <c r="DG29" s="77">
        <v>3050</v>
      </c>
      <c r="DH29" s="125">
        <v>0</v>
      </c>
      <c r="DI29" s="125">
        <v>0</v>
      </c>
      <c r="DJ29" s="77">
        <v>0</v>
      </c>
      <c r="DK29" s="77">
        <v>0</v>
      </c>
      <c r="DL29" s="50">
        <v>1.6</v>
      </c>
      <c r="DM29" s="125">
        <v>0</v>
      </c>
      <c r="DN29" s="77">
        <v>0</v>
      </c>
      <c r="DO29" s="77">
        <v>0</v>
      </c>
      <c r="DP29" s="50">
        <v>0</v>
      </c>
      <c r="DQ29" s="125">
        <v>0</v>
      </c>
      <c r="DR29" s="77">
        <v>0</v>
      </c>
      <c r="DS29" s="77">
        <v>0</v>
      </c>
      <c r="DT29" s="50">
        <v>0</v>
      </c>
      <c r="DU29" s="125">
        <v>0</v>
      </c>
      <c r="DV29" s="77">
        <v>0</v>
      </c>
      <c r="DW29" s="77">
        <v>0</v>
      </c>
      <c r="DX29" s="50">
        <v>0</v>
      </c>
      <c r="DY29" s="125">
        <v>0</v>
      </c>
      <c r="DZ29" s="77">
        <v>3293.809</v>
      </c>
      <c r="EA29" s="77">
        <v>74890</v>
      </c>
      <c r="EB29" s="50">
        <v>0</v>
      </c>
      <c r="EC29" s="130">
        <v>16651.068</v>
      </c>
      <c r="ED29" s="77">
        <v>32086.541</v>
      </c>
      <c r="EE29" s="77">
        <v>20069</v>
      </c>
      <c r="EF29" s="50">
        <v>20195.937</v>
      </c>
      <c r="EG29" s="125">
        <v>11080.873</v>
      </c>
      <c r="EH29" s="77">
        <v>34560.668</v>
      </c>
      <c r="EI29" s="77">
        <v>27134</v>
      </c>
      <c r="EJ29" s="50">
        <v>115.981</v>
      </c>
      <c r="EK29" s="125">
        <v>1677.248</v>
      </c>
      <c r="EL29" s="77">
        <v>8.15</v>
      </c>
      <c r="EM29" s="77">
        <v>2</v>
      </c>
      <c r="EN29" s="50">
        <v>0</v>
      </c>
      <c r="EO29" s="125">
        <v>0</v>
      </c>
      <c r="EP29" s="77">
        <v>0</v>
      </c>
      <c r="EQ29" s="77">
        <v>0</v>
      </c>
      <c r="ER29" s="131">
        <v>0</v>
      </c>
      <c r="ES29" s="131">
        <v>0</v>
      </c>
      <c r="ET29" s="77">
        <v>0</v>
      </c>
      <c r="EU29" s="77">
        <v>0</v>
      </c>
      <c r="EV29" s="50">
        <v>2842.394</v>
      </c>
      <c r="EW29" s="131">
        <v>15257.272</v>
      </c>
      <c r="EX29" s="77">
        <v>10082</v>
      </c>
      <c r="EY29" s="77">
        <v>1411</v>
      </c>
      <c r="EZ29" s="50">
        <v>0</v>
      </c>
      <c r="FA29" s="131">
        <v>3111.722</v>
      </c>
      <c r="FB29" s="77">
        <v>673.136</v>
      </c>
      <c r="FC29" s="77"/>
      <c r="FD29" s="50">
        <v>27000</v>
      </c>
      <c r="FE29" s="131">
        <v>0</v>
      </c>
      <c r="FF29" s="77">
        <v>0</v>
      </c>
      <c r="FG29" s="77">
        <v>0</v>
      </c>
      <c r="FH29" s="60">
        <v>377147.651</v>
      </c>
      <c r="FI29" s="179">
        <v>0</v>
      </c>
      <c r="FJ29" s="77">
        <v>0</v>
      </c>
      <c r="FK29" s="77">
        <v>226425</v>
      </c>
      <c r="FL29" s="50"/>
      <c r="FM29" s="179">
        <v>0</v>
      </c>
      <c r="FN29" s="77">
        <v>0</v>
      </c>
      <c r="FO29" s="77">
        <v>0</v>
      </c>
      <c r="FQ29" t="s">
        <v>155</v>
      </c>
      <c r="FR29" t="s">
        <v>157</v>
      </c>
    </row>
    <row r="30" spans="1:174" ht="12.75">
      <c r="A30" s="53" t="s">
        <v>33</v>
      </c>
      <c r="B30" s="51">
        <f>SUM(B28:B29)</f>
        <v>53430584.456429996</v>
      </c>
      <c r="C30" s="51">
        <f>SUM(C28:C29)</f>
        <v>60001032.65500001</v>
      </c>
      <c r="D30" s="162">
        <f>SUM(D28:D29)</f>
        <v>67472251.51599999</v>
      </c>
      <c r="E30" s="162">
        <f>SUM(E28:E29)</f>
        <v>55760447.305429995</v>
      </c>
      <c r="F30" s="51">
        <f aca="true" t="shared" si="36" ref="F30:AI30">SUM(F28:F29)</f>
        <v>3142512.136</v>
      </c>
      <c r="G30" s="107">
        <f t="shared" si="36"/>
        <v>3488817.145</v>
      </c>
      <c r="H30" s="78">
        <f t="shared" si="36"/>
        <v>3525378.7739999997</v>
      </c>
      <c r="I30" s="78">
        <f>SUM(I28:I29)</f>
        <v>3517236</v>
      </c>
      <c r="J30" s="51">
        <f t="shared" si="36"/>
        <v>0</v>
      </c>
      <c r="K30" s="107">
        <f t="shared" si="36"/>
        <v>2054048.776</v>
      </c>
      <c r="L30" s="111">
        <f t="shared" si="36"/>
        <v>2486787.539</v>
      </c>
      <c r="M30" s="111">
        <f>SUM(M28:M29)</f>
        <v>0</v>
      </c>
      <c r="N30" s="51">
        <f t="shared" si="36"/>
        <v>0</v>
      </c>
      <c r="O30" s="78">
        <f t="shared" si="36"/>
        <v>370287.178</v>
      </c>
      <c r="P30" s="111">
        <f t="shared" si="36"/>
        <v>387550.596</v>
      </c>
      <c r="Q30" s="111">
        <f>SUM(Q28:Q29)</f>
        <v>498825</v>
      </c>
      <c r="R30" s="51">
        <f>SUM(R28:R29)</f>
        <v>852896</v>
      </c>
      <c r="S30" s="107">
        <f>SUM(S28:S29)</f>
        <v>835742</v>
      </c>
      <c r="T30" s="80">
        <f t="shared" si="36"/>
        <v>710178</v>
      </c>
      <c r="U30" s="80">
        <f>SUM(U28:U29)</f>
        <v>1483564</v>
      </c>
      <c r="V30" s="51">
        <f>SUM(V28:V29)</f>
        <v>0</v>
      </c>
      <c r="W30" s="51">
        <f>SUM(W28:W29)</f>
        <v>0</v>
      </c>
      <c r="X30" s="80">
        <f t="shared" si="36"/>
        <v>2127983</v>
      </c>
      <c r="Y30" s="80">
        <f>SUM(Y28:Y29)</f>
        <v>2379937</v>
      </c>
      <c r="Z30" s="51">
        <f>SUM(Z28:Z29)</f>
        <v>959763.4941</v>
      </c>
      <c r="AA30" s="107">
        <f>SUM(AA28:AA29)</f>
        <v>0</v>
      </c>
      <c r="AB30" s="80">
        <f t="shared" si="36"/>
        <v>2098000</v>
      </c>
      <c r="AC30" s="107">
        <f t="shared" si="36"/>
        <v>0</v>
      </c>
      <c r="AD30" s="107">
        <f t="shared" si="36"/>
        <v>0</v>
      </c>
      <c r="AE30" s="111">
        <f t="shared" si="36"/>
        <v>0</v>
      </c>
      <c r="AF30" s="80">
        <f>SUM(AF28:AF29)</f>
        <v>10561238</v>
      </c>
      <c r="AG30" s="51">
        <f t="shared" si="36"/>
        <v>733084.71471</v>
      </c>
      <c r="AH30" s="122">
        <f t="shared" si="36"/>
        <v>687592.0090000001</v>
      </c>
      <c r="AI30" s="80">
        <f t="shared" si="36"/>
        <v>593048.619</v>
      </c>
      <c r="AJ30" s="80">
        <f>SUM(AJ28:AJ29)</f>
        <v>519516</v>
      </c>
      <c r="AK30" s="107">
        <f aca="true" t="shared" si="37" ref="AK30:AQ30">SUM(AK28:AK29)</f>
        <v>0</v>
      </c>
      <c r="AL30" s="107">
        <f t="shared" si="37"/>
        <v>0</v>
      </c>
      <c r="AM30" s="111">
        <f t="shared" si="37"/>
        <v>0</v>
      </c>
      <c r="AN30" s="111">
        <f>SUM(AN28:AN29)</f>
        <v>0</v>
      </c>
      <c r="AO30" s="107">
        <f t="shared" si="37"/>
        <v>0</v>
      </c>
      <c r="AP30" s="107">
        <f t="shared" si="37"/>
        <v>0</v>
      </c>
      <c r="AQ30" s="111">
        <f t="shared" si="37"/>
        <v>1068875</v>
      </c>
      <c r="AR30" s="111">
        <f aca="true" t="shared" si="38" ref="AR30:BT30">SUM(AR28:AR29)</f>
        <v>1233738</v>
      </c>
      <c r="AS30" s="51">
        <f>SUM(AS28:AS29)</f>
        <v>228063</v>
      </c>
      <c r="AT30" s="107">
        <f>SUM(AT28:AT29)</f>
        <v>355413</v>
      </c>
      <c r="AU30" s="185">
        <f>SUM(AU28:AU29)</f>
        <v>387842</v>
      </c>
      <c r="AV30" s="185">
        <f>SUM(AV28:AV29)</f>
        <v>11207801</v>
      </c>
      <c r="AW30" s="51">
        <f t="shared" si="38"/>
        <v>0</v>
      </c>
      <c r="AX30" s="107">
        <f t="shared" si="38"/>
        <v>26400</v>
      </c>
      <c r="AY30" s="78">
        <f t="shared" si="38"/>
        <v>84000</v>
      </c>
      <c r="AZ30" s="78">
        <f t="shared" si="38"/>
        <v>2086187</v>
      </c>
      <c r="BA30" s="51">
        <f t="shared" si="38"/>
        <v>26717335</v>
      </c>
      <c r="BB30" s="107">
        <f t="shared" si="38"/>
        <v>22301814</v>
      </c>
      <c r="BC30" s="78">
        <f t="shared" si="38"/>
        <v>20029911</v>
      </c>
      <c r="BD30" s="78">
        <f t="shared" si="38"/>
        <v>29752825</v>
      </c>
      <c r="BE30" s="51">
        <f t="shared" si="38"/>
        <v>0</v>
      </c>
      <c r="BF30" s="107">
        <f t="shared" si="38"/>
        <v>766859</v>
      </c>
      <c r="BG30" s="78">
        <f t="shared" si="38"/>
        <v>1332108.4100000001</v>
      </c>
      <c r="BH30" s="78">
        <f t="shared" si="38"/>
        <v>1309320</v>
      </c>
      <c r="BI30" s="51">
        <f t="shared" si="38"/>
        <v>0</v>
      </c>
      <c r="BJ30" s="107">
        <f t="shared" si="38"/>
        <v>32541</v>
      </c>
      <c r="BK30" s="78">
        <f t="shared" si="38"/>
        <v>200220.504</v>
      </c>
      <c r="BL30" s="78">
        <f t="shared" si="38"/>
        <v>943477</v>
      </c>
      <c r="BM30" s="51">
        <f t="shared" si="38"/>
        <v>12717099</v>
      </c>
      <c r="BN30" s="107">
        <f t="shared" si="38"/>
        <v>14572598</v>
      </c>
      <c r="BO30" s="78">
        <f t="shared" si="38"/>
        <v>14610310</v>
      </c>
      <c r="BP30" s="78">
        <f t="shared" si="38"/>
        <v>14534998</v>
      </c>
      <c r="BQ30" s="107">
        <f t="shared" si="38"/>
        <v>0</v>
      </c>
      <c r="BR30" s="107">
        <f t="shared" si="38"/>
        <v>0</v>
      </c>
      <c r="BS30" s="111">
        <f t="shared" si="38"/>
        <v>654470</v>
      </c>
      <c r="BT30" s="111">
        <f t="shared" si="38"/>
        <v>409006</v>
      </c>
      <c r="BU30" s="51">
        <f aca="true" t="shared" si="39" ref="BU30:CE30">SUM(BU28:BU29)</f>
        <v>159788.584</v>
      </c>
      <c r="BV30" s="107">
        <f t="shared" si="39"/>
        <v>244697.927</v>
      </c>
      <c r="BW30" s="78">
        <f t="shared" si="39"/>
        <v>447959.185</v>
      </c>
      <c r="BX30" s="78">
        <f>SUM(BX28:BX29)</f>
        <v>468833</v>
      </c>
      <c r="BY30" s="107">
        <f t="shared" si="39"/>
        <v>598389.398</v>
      </c>
      <c r="BZ30" s="107">
        <f t="shared" si="39"/>
        <v>738132.288</v>
      </c>
      <c r="CA30" s="78">
        <f t="shared" si="39"/>
        <v>606597</v>
      </c>
      <c r="CB30" s="78">
        <f>SUM(CB28:CB29)</f>
        <v>867071</v>
      </c>
      <c r="CC30" s="107">
        <f t="shared" si="39"/>
        <v>0</v>
      </c>
      <c r="CD30" s="107">
        <f t="shared" si="39"/>
        <v>0</v>
      </c>
      <c r="CE30" s="78">
        <f t="shared" si="39"/>
        <v>673858</v>
      </c>
      <c r="CF30" s="78">
        <f>SUM(CF28:CF29)</f>
        <v>0</v>
      </c>
      <c r="CG30" s="51">
        <f>SUM(CG28:CG29)</f>
        <v>1900506.313</v>
      </c>
      <c r="CH30" s="107">
        <f>SUM(CH28:CH29)</f>
        <v>1608431.753</v>
      </c>
      <c r="CI30" s="78">
        <f>SUM(CI28:CI29)</f>
        <v>1684689.812</v>
      </c>
      <c r="CJ30" s="78">
        <f>SUM(CJ28:CJ29)</f>
        <v>1623757</v>
      </c>
      <c r="CK30" s="51">
        <f aca="true" t="shared" si="40" ref="CK30:DA30">SUM(CK28:CK29)</f>
        <v>0</v>
      </c>
      <c r="CL30" s="107">
        <f t="shared" si="40"/>
        <v>220670.46</v>
      </c>
      <c r="CM30" s="111">
        <f t="shared" si="40"/>
        <v>243456.8</v>
      </c>
      <c r="CN30" s="111">
        <f>SUM(CN28:CN29)</f>
        <v>351034</v>
      </c>
      <c r="CO30" s="64">
        <f t="shared" si="40"/>
        <v>0</v>
      </c>
      <c r="CP30" s="107">
        <f t="shared" si="40"/>
        <v>0</v>
      </c>
      <c r="CQ30" s="78">
        <f t="shared" si="40"/>
        <v>0</v>
      </c>
      <c r="CR30" s="107">
        <f t="shared" si="40"/>
        <v>0</v>
      </c>
      <c r="CS30" s="107">
        <f t="shared" si="40"/>
        <v>0</v>
      </c>
      <c r="CT30" s="78">
        <f t="shared" si="40"/>
        <v>0</v>
      </c>
      <c r="CU30" s="78">
        <f>SUM(CU28:CU29)</f>
        <v>1032969</v>
      </c>
      <c r="CV30" s="51">
        <f t="shared" si="40"/>
        <v>502737</v>
      </c>
      <c r="CW30" s="107">
        <f t="shared" si="40"/>
        <v>628582.5819999999</v>
      </c>
      <c r="CX30" s="78">
        <f t="shared" si="40"/>
        <v>264686.236</v>
      </c>
      <c r="CY30" s="78">
        <f>SUM(CY28:CY29)</f>
        <v>305741</v>
      </c>
      <c r="CZ30" s="51">
        <f t="shared" si="40"/>
        <v>0</v>
      </c>
      <c r="DA30" s="107">
        <f t="shared" si="40"/>
        <v>1139781</v>
      </c>
      <c r="DB30" s="78">
        <f aca="true" t="shared" si="41" ref="DB30:DO30">SUM(DB28:DB29)</f>
        <v>1379038</v>
      </c>
      <c r="DC30" s="78">
        <f t="shared" si="41"/>
        <v>1427832</v>
      </c>
      <c r="DD30" s="51">
        <f t="shared" si="41"/>
        <v>1708873.09938</v>
      </c>
      <c r="DE30" s="107">
        <f t="shared" si="41"/>
        <v>1291133.912</v>
      </c>
      <c r="DF30" s="78">
        <f t="shared" si="41"/>
        <v>1531424.437</v>
      </c>
      <c r="DG30" s="78">
        <f t="shared" si="41"/>
        <v>1142077</v>
      </c>
      <c r="DH30" s="107">
        <f t="shared" si="41"/>
        <v>0</v>
      </c>
      <c r="DI30" s="107">
        <f t="shared" si="41"/>
        <v>0</v>
      </c>
      <c r="DJ30" s="78">
        <f t="shared" si="41"/>
        <v>0</v>
      </c>
      <c r="DK30" s="78">
        <f t="shared" si="41"/>
        <v>0</v>
      </c>
      <c r="DL30" s="51">
        <f t="shared" si="41"/>
        <v>437225.1</v>
      </c>
      <c r="DM30" s="107">
        <f t="shared" si="41"/>
        <v>0</v>
      </c>
      <c r="DN30" s="78">
        <f t="shared" si="41"/>
        <v>0</v>
      </c>
      <c r="DO30" s="78">
        <f t="shared" si="41"/>
        <v>0</v>
      </c>
      <c r="DP30" s="51">
        <f aca="true" t="shared" si="42" ref="DP30:FJ30">SUM(DP28:DP29)</f>
        <v>0</v>
      </c>
      <c r="DQ30" s="107">
        <f t="shared" si="42"/>
        <v>366785.909</v>
      </c>
      <c r="DR30" s="78">
        <f t="shared" si="42"/>
        <v>115020</v>
      </c>
      <c r="DS30" s="78">
        <f>SUM(DS28:DS29)</f>
        <v>63500</v>
      </c>
      <c r="DT30" s="51">
        <f t="shared" si="42"/>
        <v>0</v>
      </c>
      <c r="DU30" s="107">
        <f t="shared" si="42"/>
        <v>283123</v>
      </c>
      <c r="DV30" s="78">
        <f t="shared" si="42"/>
        <v>425386.25</v>
      </c>
      <c r="DW30" s="78">
        <f>SUM(DW28:DW29)</f>
        <v>0</v>
      </c>
      <c r="DX30" s="51">
        <f t="shared" si="42"/>
        <v>0</v>
      </c>
      <c r="DY30" s="107">
        <f t="shared" si="42"/>
        <v>393363.181</v>
      </c>
      <c r="DZ30" s="78">
        <f t="shared" si="42"/>
        <v>601625.024</v>
      </c>
      <c r="EA30" s="78">
        <f>SUM(EA28:EA29)</f>
        <v>885095</v>
      </c>
      <c r="EB30" s="51">
        <f t="shared" si="42"/>
        <v>0</v>
      </c>
      <c r="EC30" s="107">
        <f t="shared" si="42"/>
        <v>2441712.9729999998</v>
      </c>
      <c r="ED30" s="78">
        <f t="shared" si="42"/>
        <v>2443740.165</v>
      </c>
      <c r="EE30" s="78">
        <f>SUM(EE28:EE29)</f>
        <v>2197720</v>
      </c>
      <c r="EF30" s="51">
        <f t="shared" si="42"/>
        <v>2075535.2729999998</v>
      </c>
      <c r="EG30" s="107">
        <f t="shared" si="42"/>
        <v>2550376.844</v>
      </c>
      <c r="EH30" s="78">
        <f t="shared" si="42"/>
        <v>3008944.755</v>
      </c>
      <c r="EI30" s="78">
        <f>SUM(EI28:EI29)</f>
        <v>3944205</v>
      </c>
      <c r="EJ30" s="51">
        <f t="shared" si="42"/>
        <v>467828.481</v>
      </c>
      <c r="EK30" s="107">
        <f t="shared" si="42"/>
        <v>656920.748</v>
      </c>
      <c r="EL30" s="78">
        <f t="shared" si="42"/>
        <v>680581.274</v>
      </c>
      <c r="EM30" s="78">
        <f>SUM(EM28:EM29)</f>
        <v>972937</v>
      </c>
      <c r="EN30" s="51">
        <f t="shared" si="42"/>
        <v>20240.75724</v>
      </c>
      <c r="EO30" s="107">
        <f t="shared" si="42"/>
        <v>0</v>
      </c>
      <c r="EP30" s="78">
        <f t="shared" si="42"/>
        <v>0</v>
      </c>
      <c r="EQ30" s="78">
        <f aca="true" t="shared" si="43" ref="EQ30:EW30">SUM(EQ28:EQ29)</f>
        <v>0</v>
      </c>
      <c r="ER30" s="107">
        <f t="shared" si="43"/>
        <v>0</v>
      </c>
      <c r="ES30" s="107">
        <f t="shared" si="43"/>
        <v>0</v>
      </c>
      <c r="ET30" s="78">
        <f t="shared" si="43"/>
        <v>959547</v>
      </c>
      <c r="EU30" s="78">
        <f t="shared" si="43"/>
        <v>1097074</v>
      </c>
      <c r="EV30" s="51">
        <f t="shared" si="43"/>
        <v>385931.35599999997</v>
      </c>
      <c r="EW30" s="107">
        <f t="shared" si="43"/>
        <v>1470593.2480000001</v>
      </c>
      <c r="EX30" s="78">
        <f t="shared" si="42"/>
        <v>1976307</v>
      </c>
      <c r="EY30" s="78">
        <f>SUM(EY28:EY29)</f>
        <v>3106835</v>
      </c>
      <c r="EZ30" s="51">
        <f>SUM(EZ28:EZ29)</f>
        <v>0</v>
      </c>
      <c r="FA30" s="107">
        <f>SUM(FA28:FA29)</f>
        <v>830027.722</v>
      </c>
      <c r="FB30" s="78">
        <f t="shared" si="42"/>
        <v>520569.136</v>
      </c>
      <c r="FC30" s="78">
        <f>SUM(FC28:FC29)</f>
        <v>0</v>
      </c>
      <c r="FD30" s="51">
        <f t="shared" si="42"/>
        <v>50838.75</v>
      </c>
      <c r="FE30" s="107">
        <f t="shared" si="42"/>
        <v>0</v>
      </c>
      <c r="FF30" s="78">
        <f t="shared" si="42"/>
        <v>0</v>
      </c>
      <c r="FG30" s="78">
        <f>SUM(FG28:FG29)</f>
        <v>0</v>
      </c>
      <c r="FH30" s="61">
        <f t="shared" si="42"/>
        <v>5472374.984999999</v>
      </c>
      <c r="FI30" s="107">
        <f t="shared" si="42"/>
        <v>0</v>
      </c>
      <c r="FJ30" s="78">
        <f t="shared" si="42"/>
        <v>0</v>
      </c>
      <c r="FK30" s="78">
        <f>SUM(FK28:FK29)</f>
        <v>8790517</v>
      </c>
      <c r="FL30" s="51"/>
      <c r="FM30" s="107">
        <f>SUM(FM28:FM29)</f>
        <v>0</v>
      </c>
      <c r="FN30" s="78">
        <f>SUM(FN28:FN29)</f>
        <v>0</v>
      </c>
      <c r="FO30" s="78">
        <f>SUM(FO28:FO29)</f>
        <v>425606</v>
      </c>
      <c r="FQ30" t="s">
        <v>156</v>
      </c>
      <c r="FR30" t="s">
        <v>158</v>
      </c>
    </row>
    <row r="31" spans="1:173" ht="12.75">
      <c r="A31" s="53" t="s">
        <v>36</v>
      </c>
      <c r="B31" s="50"/>
      <c r="C31" s="50"/>
      <c r="D31" s="163"/>
      <c r="E31" s="163"/>
      <c r="F31" s="50"/>
      <c r="G31" s="106"/>
      <c r="H31" s="77"/>
      <c r="I31" s="77"/>
      <c r="J31" s="50"/>
      <c r="K31" s="106"/>
      <c r="L31" s="110"/>
      <c r="M31" s="110"/>
      <c r="N31" s="50"/>
      <c r="O31" s="78"/>
      <c r="P31" s="110"/>
      <c r="Q31" s="110"/>
      <c r="R31" s="50"/>
      <c r="S31" s="114"/>
      <c r="T31" s="77"/>
      <c r="U31" s="77"/>
      <c r="V31" s="50"/>
      <c r="W31" s="50"/>
      <c r="X31" s="77"/>
      <c r="Y31" s="77"/>
      <c r="Z31" s="50"/>
      <c r="AA31" s="114"/>
      <c r="AB31" s="77"/>
      <c r="AC31" s="114"/>
      <c r="AD31" s="114"/>
      <c r="AE31" s="134"/>
      <c r="AF31" s="77"/>
      <c r="AG31" s="50"/>
      <c r="AH31" s="123"/>
      <c r="AI31" s="77"/>
      <c r="AJ31" s="77"/>
      <c r="AK31" s="114"/>
      <c r="AL31" s="114"/>
      <c r="AM31" s="134"/>
      <c r="AN31" s="134"/>
      <c r="AO31" s="114"/>
      <c r="AP31" s="114"/>
      <c r="AQ31" s="134"/>
      <c r="AR31" s="134"/>
      <c r="AS31" s="50"/>
      <c r="AT31" s="130"/>
      <c r="AU31" s="183"/>
      <c r="AV31" s="183"/>
      <c r="AW31" s="50"/>
      <c r="AX31" s="114"/>
      <c r="AY31" s="77"/>
      <c r="AZ31" s="77"/>
      <c r="BA31" s="50"/>
      <c r="BB31" s="114"/>
      <c r="BC31" s="77"/>
      <c r="BD31" s="77"/>
      <c r="BE31" s="50"/>
      <c r="BF31" s="114"/>
      <c r="BG31" s="77"/>
      <c r="BH31" s="77"/>
      <c r="BI31" s="50"/>
      <c r="BJ31" s="114"/>
      <c r="BK31" s="77"/>
      <c r="BL31" s="77"/>
      <c r="BM31" s="50"/>
      <c r="BN31" s="114"/>
      <c r="BO31" s="77"/>
      <c r="BP31" s="77"/>
      <c r="BQ31" s="114"/>
      <c r="BR31" s="114"/>
      <c r="BS31" s="134"/>
      <c r="BT31" s="134"/>
      <c r="BU31" s="50"/>
      <c r="BV31" s="114"/>
      <c r="BW31" s="77"/>
      <c r="BX31" s="77"/>
      <c r="BY31" s="125"/>
      <c r="BZ31" s="125"/>
      <c r="CA31" s="77"/>
      <c r="CB31" s="77"/>
      <c r="CC31" s="125"/>
      <c r="CD31" s="125"/>
      <c r="CE31" s="77"/>
      <c r="CF31" s="77"/>
      <c r="CG31" s="50"/>
      <c r="CH31" s="114"/>
      <c r="CI31" s="77"/>
      <c r="CJ31" s="77"/>
      <c r="CK31" s="50"/>
      <c r="CL31" s="125"/>
      <c r="CM31" s="127"/>
      <c r="CN31" s="127"/>
      <c r="CO31" s="63"/>
      <c r="CP31" s="125"/>
      <c r="CQ31" s="77"/>
      <c r="CR31" s="125"/>
      <c r="CS31" s="125"/>
      <c r="CT31" s="77"/>
      <c r="CU31" s="77"/>
      <c r="CV31" s="50"/>
      <c r="CW31" s="125"/>
      <c r="CX31" s="77"/>
      <c r="CY31" s="77"/>
      <c r="CZ31" s="50"/>
      <c r="DA31" s="125"/>
      <c r="DB31" s="77"/>
      <c r="DC31" s="77"/>
      <c r="DD31" s="50"/>
      <c r="DE31" s="114"/>
      <c r="DF31" s="77"/>
      <c r="DG31" s="77"/>
      <c r="DH31" s="125"/>
      <c r="DI31" s="125"/>
      <c r="DJ31" s="77"/>
      <c r="DK31" s="77"/>
      <c r="DL31" s="50"/>
      <c r="DM31" s="125"/>
      <c r="DN31" s="77"/>
      <c r="DO31" s="77"/>
      <c r="DP31" s="50"/>
      <c r="DQ31" s="125"/>
      <c r="DR31" s="77"/>
      <c r="DS31" s="77"/>
      <c r="DT31" s="50"/>
      <c r="DU31" s="125"/>
      <c r="DV31" s="77"/>
      <c r="DW31" s="77"/>
      <c r="DX31" s="50"/>
      <c r="DY31" s="125"/>
      <c r="DZ31" s="77"/>
      <c r="EA31" s="77"/>
      <c r="EB31" s="50"/>
      <c r="EC31" s="130"/>
      <c r="ED31" s="77"/>
      <c r="EE31" s="77"/>
      <c r="EF31" s="50"/>
      <c r="EG31" s="125"/>
      <c r="EH31" s="77"/>
      <c r="EI31" s="77"/>
      <c r="EJ31" s="50"/>
      <c r="EK31" s="125"/>
      <c r="EL31" s="77"/>
      <c r="EM31" s="77"/>
      <c r="EN31" s="50"/>
      <c r="EO31" s="125"/>
      <c r="EP31" s="77"/>
      <c r="EQ31" s="77"/>
      <c r="ER31" s="131"/>
      <c r="ES31" s="131"/>
      <c r="ET31" s="77"/>
      <c r="EU31" s="77"/>
      <c r="EV31" s="50"/>
      <c r="EW31" s="131"/>
      <c r="EX31" s="77"/>
      <c r="EY31" s="77"/>
      <c r="EZ31" s="50"/>
      <c r="FA31" s="131"/>
      <c r="FB31" s="77"/>
      <c r="FC31" s="77"/>
      <c r="FD31" s="50"/>
      <c r="FE31" s="131"/>
      <c r="FF31" s="77"/>
      <c r="FG31" s="77"/>
      <c r="FH31" s="60"/>
      <c r="FI31" s="179"/>
      <c r="FJ31" s="77"/>
      <c r="FK31" s="77"/>
      <c r="FL31" s="50"/>
      <c r="FM31" s="179"/>
      <c r="FN31" s="77"/>
      <c r="FO31" s="77"/>
      <c r="FQ31">
        <f>425606-335211</f>
        <v>90395</v>
      </c>
    </row>
    <row r="32" spans="1:171" ht="12.75">
      <c r="A32" s="52" t="s">
        <v>62</v>
      </c>
      <c r="B32" s="50">
        <f aca="true" t="shared" si="44" ref="B32:D34">F32+J32+N32+R32+V32+Z32+AC32+AG32+AK32+AO32+AW32+BA32+BE32+BI32+BM32+BQ32+BU32+BY32+CC32+CG32+CK32+CO32+CR32+CV32+CZ32+DD32+DH32+DL32+DP32+DT32+DX32+EB32+EF32+EJ32+EN32+ER32+EV32+EZ32+FD32</f>
        <v>40437821.76707999</v>
      </c>
      <c r="C32" s="50">
        <f t="shared" si="44"/>
        <v>35868570.219000004</v>
      </c>
      <c r="D32" s="161">
        <f t="shared" si="44"/>
        <v>61215259.221099995</v>
      </c>
      <c r="E32" s="161">
        <f>J32+N32+R32+V32+Z32+AC32+AG32+AK32+AO32+AW32+BA32+BE32+BI32+BM32+BQ32+BU32+BY32+CC32+CG32+CK32+CO32+CR32+CV32+CZ32+DD32+DH32+DL32+DP32+DT32+DX32+EB32+EF32+EJ32+EN32+ER32+EV32+EZ32+FD32+FH32</f>
        <v>40864066.812079996</v>
      </c>
      <c r="F32" s="50">
        <f>1974029.629+865754.423</f>
        <v>2839784.052</v>
      </c>
      <c r="G32" s="106">
        <f>2046927.869+864783.54</f>
        <v>2911711.409</v>
      </c>
      <c r="H32" s="77">
        <f>2080788.327+872814.919</f>
        <v>2953603.2460000003</v>
      </c>
      <c r="I32" s="77">
        <f>2218437+808641</f>
        <v>3027078</v>
      </c>
      <c r="J32" s="50">
        <v>0</v>
      </c>
      <c r="K32" s="106">
        <f>421112.594+128787.77+1179046.062</f>
        <v>1728946.426</v>
      </c>
      <c r="L32" s="110">
        <f>594923.479+176450.368+1221200.025</f>
        <v>1992573.872</v>
      </c>
      <c r="M32" s="110"/>
      <c r="N32" s="50">
        <v>0</v>
      </c>
      <c r="O32" s="77">
        <f>15000+332962.659</f>
        <v>347962.659</v>
      </c>
      <c r="P32" s="110">
        <f>368354.722</f>
        <v>368354.722</v>
      </c>
      <c r="Q32" s="110">
        <v>482267</v>
      </c>
      <c r="R32" s="50">
        <f>790297+41162</f>
        <v>831459</v>
      </c>
      <c r="S32" s="114">
        <f>796580+25248</f>
        <v>821828</v>
      </c>
      <c r="T32" s="77">
        <f>649562+46175</f>
        <v>695737</v>
      </c>
      <c r="U32" s="77">
        <f>1263411+206206</f>
        <v>1469617</v>
      </c>
      <c r="V32" s="50">
        <v>0</v>
      </c>
      <c r="W32" s="50">
        <v>0</v>
      </c>
      <c r="X32" s="77">
        <v>2018636</v>
      </c>
      <c r="Y32" s="77">
        <f>127346+140904+1868382</f>
        <v>2136632</v>
      </c>
      <c r="Z32" s="50">
        <v>909263.4941</v>
      </c>
      <c r="AA32" s="114">
        <v>0</v>
      </c>
      <c r="AB32" s="77">
        <v>2036182</v>
      </c>
      <c r="AC32" s="114">
        <v>0</v>
      </c>
      <c r="AD32" s="114">
        <v>0</v>
      </c>
      <c r="AE32" s="134">
        <v>0</v>
      </c>
      <c r="AF32" s="77">
        <f>8751733+1669367</f>
        <v>10421100</v>
      </c>
      <c r="AG32" s="50">
        <f>547178.14343+152839.39395</f>
        <v>700017.5373800001</v>
      </c>
      <c r="AH32" s="123">
        <f>483544.621+178731.062</f>
        <v>662275.683</v>
      </c>
      <c r="AI32" s="77">
        <f>343299.866+221134.963</f>
        <v>564434.8289999999</v>
      </c>
      <c r="AJ32" s="77">
        <f>204323+212887</f>
        <v>417210</v>
      </c>
      <c r="AK32" s="114">
        <v>0</v>
      </c>
      <c r="AL32" s="114">
        <v>0</v>
      </c>
      <c r="AM32" s="134">
        <v>0</v>
      </c>
      <c r="AN32" s="134">
        <v>0</v>
      </c>
      <c r="AO32" s="114">
        <v>0</v>
      </c>
      <c r="AP32" s="114">
        <v>0</v>
      </c>
      <c r="AQ32" s="134">
        <f>86422+267655+645916</f>
        <v>999993</v>
      </c>
      <c r="AR32" s="134">
        <f>779486+142244+288087</f>
        <v>1209817</v>
      </c>
      <c r="AS32" s="50">
        <v>171373</v>
      </c>
      <c r="AT32" s="130">
        <v>326011</v>
      </c>
      <c r="AU32" s="183">
        <f>352913</f>
        <v>352913</v>
      </c>
      <c r="AV32" s="183">
        <f>11097508+583254</f>
        <v>11680762</v>
      </c>
      <c r="AW32" s="50">
        <v>0</v>
      </c>
      <c r="AX32" s="114">
        <f>25895-500</f>
        <v>25395</v>
      </c>
      <c r="AY32" s="77">
        <v>79500</v>
      </c>
      <c r="AZ32" s="77">
        <f>1383740+220248+43906+15393+364456</f>
        <v>2027743</v>
      </c>
      <c r="BA32" s="50">
        <f>22982637+3464223+153883</f>
        <v>26600743</v>
      </c>
      <c r="BB32" s="114">
        <f>1812946+2553958</f>
        <v>4366904</v>
      </c>
      <c r="BC32" s="77">
        <f>17344205+2487705</f>
        <v>19831910</v>
      </c>
      <c r="BD32" s="77">
        <f>26443153+2972403</f>
        <v>29415556</v>
      </c>
      <c r="BE32" s="50">
        <v>0</v>
      </c>
      <c r="BF32" s="114">
        <v>540218</v>
      </c>
      <c r="BG32" s="77">
        <f>1167772.036+128161.542+190</f>
        <v>1296123.578</v>
      </c>
      <c r="BH32" s="77">
        <v>1251819</v>
      </c>
      <c r="BI32" s="50">
        <v>0</v>
      </c>
      <c r="BJ32" s="114">
        <v>21799</v>
      </c>
      <c r="BK32" s="77">
        <f>31293.813+138685.891</f>
        <v>169979.704</v>
      </c>
      <c r="BL32" s="77">
        <f>258165+627237</f>
        <v>885402</v>
      </c>
      <c r="BM32" s="50">
        <v>1002784</v>
      </c>
      <c r="BN32" s="114">
        <v>10644235</v>
      </c>
      <c r="BO32" s="77">
        <f>11500449</f>
        <v>11500449</v>
      </c>
      <c r="BP32" s="77">
        <f>11079829+1502122</f>
        <v>12581951</v>
      </c>
      <c r="BQ32" s="114">
        <v>0</v>
      </c>
      <c r="BR32" s="114">
        <v>0</v>
      </c>
      <c r="BS32" s="134">
        <f>354845+48216+185624</f>
        <v>588685</v>
      </c>
      <c r="BT32" s="134">
        <f>183333+205413</f>
        <v>388746</v>
      </c>
      <c r="BU32" s="50">
        <f>135513.16808-7627</f>
        <v>127886.16808</v>
      </c>
      <c r="BV32" s="114">
        <v>214440.356</v>
      </c>
      <c r="BW32" s="77">
        <v>412667.5701</v>
      </c>
      <c r="BX32" s="77">
        <v>417629</v>
      </c>
      <c r="BY32" s="125">
        <f>473880.618+87755.967</f>
        <v>561636.585</v>
      </c>
      <c r="BZ32" s="125">
        <f>575272.446+105670.457</f>
        <v>680942.9029999999</v>
      </c>
      <c r="CA32" s="77">
        <f>473712+99986</f>
        <v>573698</v>
      </c>
      <c r="CB32" s="77">
        <f>688422+134853</f>
        <v>823275</v>
      </c>
      <c r="CC32" s="125">
        <v>0</v>
      </c>
      <c r="CD32" s="125">
        <v>0</v>
      </c>
      <c r="CE32" s="77">
        <f>113972+519970</f>
        <v>633942</v>
      </c>
      <c r="CF32" s="77"/>
      <c r="CG32" s="50">
        <f>1766570.116+77919</f>
        <v>1844489.116</v>
      </c>
      <c r="CH32" s="114">
        <f>1451004.797</f>
        <v>1451004.797</v>
      </c>
      <c r="CI32" s="77">
        <f>1507271.495</f>
        <v>1507271.495</v>
      </c>
      <c r="CJ32" s="77">
        <f>59364+1351701</f>
        <v>1411065</v>
      </c>
      <c r="CK32" s="50">
        <v>0</v>
      </c>
      <c r="CL32" s="125">
        <f>211758.166+7198</f>
        <v>218956.166</v>
      </c>
      <c r="CM32" s="127">
        <v>223101.291</v>
      </c>
      <c r="CN32" s="127">
        <v>332112</v>
      </c>
      <c r="CO32" s="63">
        <v>0</v>
      </c>
      <c r="CP32" s="125">
        <v>0</v>
      </c>
      <c r="CQ32" s="77">
        <v>0</v>
      </c>
      <c r="CR32" s="125">
        <v>0</v>
      </c>
      <c r="CS32" s="125">
        <v>0</v>
      </c>
      <c r="CT32" s="77">
        <v>0</v>
      </c>
      <c r="CU32" s="77">
        <v>1021076</v>
      </c>
      <c r="CV32" s="50">
        <f>470989-10477</f>
        <v>460512</v>
      </c>
      <c r="CW32" s="125">
        <v>560181.907</v>
      </c>
      <c r="CX32" s="77">
        <v>236958.799</v>
      </c>
      <c r="CY32" s="77">
        <f>236586+42348</f>
        <v>278934</v>
      </c>
      <c r="CZ32" s="50">
        <v>0</v>
      </c>
      <c r="DA32" s="125">
        <v>1005949</v>
      </c>
      <c r="DB32" s="77">
        <v>1220589</v>
      </c>
      <c r="DC32" s="77">
        <v>1266332</v>
      </c>
      <c r="DD32" s="50">
        <f>856052.60795+395390.33457</f>
        <v>1251442.94252</v>
      </c>
      <c r="DE32" s="114">
        <f>753053.889+396606.094</f>
        <v>1149659.983</v>
      </c>
      <c r="DF32" s="77">
        <f>929672.102+399884.354</f>
        <v>1329556.456</v>
      </c>
      <c r="DG32" s="77">
        <f>654405+450216</f>
        <v>1104621</v>
      </c>
      <c r="DH32" s="125">
        <v>0</v>
      </c>
      <c r="DI32" s="125">
        <v>0</v>
      </c>
      <c r="DJ32" s="77">
        <v>0</v>
      </c>
      <c r="DK32" s="77">
        <v>0</v>
      </c>
      <c r="DL32" s="50">
        <f>309681.837+90842.659</f>
        <v>400524.496</v>
      </c>
      <c r="DM32" s="125">
        <v>0</v>
      </c>
      <c r="DN32" s="77">
        <v>0</v>
      </c>
      <c r="DO32" s="77">
        <v>0</v>
      </c>
      <c r="DP32" s="50">
        <v>0</v>
      </c>
      <c r="DQ32" s="125">
        <v>326975.909</v>
      </c>
      <c r="DR32" s="77">
        <f>78686+31200</f>
        <v>109886</v>
      </c>
      <c r="DS32" s="77">
        <f>34200+26850</f>
        <v>61050</v>
      </c>
      <c r="DT32" s="50">
        <v>0</v>
      </c>
      <c r="DU32" s="125">
        <f>224227+56844</f>
        <v>281071</v>
      </c>
      <c r="DV32" s="77">
        <v>355748.05</v>
      </c>
      <c r="DW32" s="77"/>
      <c r="DX32" s="50">
        <v>0</v>
      </c>
      <c r="DY32" s="125">
        <f>285146.276+52232.34</f>
        <v>337378.61600000004</v>
      </c>
      <c r="DZ32" s="77">
        <f>536616.825+7173.153</f>
        <v>543789.978</v>
      </c>
      <c r="EA32" s="77">
        <f>638506+152704+25081</f>
        <v>816291</v>
      </c>
      <c r="EB32" s="50">
        <v>0</v>
      </c>
      <c r="EC32" s="130">
        <f>1838710.275+484558.904</f>
        <v>2323269.179</v>
      </c>
      <c r="ED32" s="77">
        <f>724794.235+1576888.705</f>
        <v>2301682.94</v>
      </c>
      <c r="EE32" s="77">
        <f>658446+1336427</f>
        <v>1994873</v>
      </c>
      <c r="EF32" s="50">
        <f>1796480.655+189832.103</f>
        <v>1986312.758</v>
      </c>
      <c r="EG32" s="125">
        <f>2225585.357+219947.145</f>
        <v>2445532.502</v>
      </c>
      <c r="EH32" s="77">
        <f>2493988.923+232307.348</f>
        <v>2726296.2709999997</v>
      </c>
      <c r="EI32" s="77">
        <f>1348088+1713643+452336</f>
        <v>3514067</v>
      </c>
      <c r="EJ32" s="50">
        <f>6877.216+426051.685</f>
        <v>432928.901</v>
      </c>
      <c r="EK32" s="125">
        <f>12747.965+619019.542</f>
        <v>631767.507</v>
      </c>
      <c r="EL32" s="77">
        <f>8825.261+628729.827</f>
        <v>637555.0880000001</v>
      </c>
      <c r="EM32" s="77">
        <f>9905+520175+390869</f>
        <v>920949</v>
      </c>
      <c r="EN32" s="50">
        <f>47964.605+4119.441</f>
        <v>52084.046</v>
      </c>
      <c r="EO32" s="125">
        <v>14614.406</v>
      </c>
      <c r="EP32" s="77">
        <v>0</v>
      </c>
      <c r="EQ32" s="77">
        <v>0</v>
      </c>
      <c r="ER32" s="131">
        <v>0</v>
      </c>
      <c r="ES32" s="131">
        <v>0</v>
      </c>
      <c r="ET32" s="77">
        <f>747462.473+177585.313</f>
        <v>925047.786</v>
      </c>
      <c r="EU32" s="77">
        <f>974447+77104</f>
        <v>1051551</v>
      </c>
      <c r="EV32" s="50">
        <f>85589.482+131406.796+124415.92</f>
        <v>341412.198</v>
      </c>
      <c r="EW32" s="131">
        <f>1112513.826+250250.985</f>
        <v>1362764.8109999998</v>
      </c>
      <c r="EX32" s="77">
        <f>1432083+418111</f>
        <v>1850194</v>
      </c>
      <c r="EY32" s="77">
        <f>2236565+652763</f>
        <v>2889328</v>
      </c>
      <c r="EZ32" s="50">
        <v>0</v>
      </c>
      <c r="FA32" s="131">
        <f>470243+328154-5611</f>
        <v>792786</v>
      </c>
      <c r="FB32" s="77">
        <f>301269.382+229843.164</f>
        <v>531112.546</v>
      </c>
      <c r="FC32" s="77"/>
      <c r="FD32" s="50">
        <f>79605.296+14936.177</f>
        <v>94541.473</v>
      </c>
      <c r="FE32" s="131">
        <v>0</v>
      </c>
      <c r="FF32" s="77">
        <v>0</v>
      </c>
      <c r="FG32" s="77">
        <v>0</v>
      </c>
      <c r="FH32" s="60">
        <v>3266029.097</v>
      </c>
      <c r="FI32" s="179">
        <v>0</v>
      </c>
      <c r="FJ32" s="77">
        <v>0</v>
      </c>
      <c r="FK32" s="77">
        <f>4058706+3070399</f>
        <v>7129105</v>
      </c>
      <c r="FL32" s="50"/>
      <c r="FM32" s="179">
        <v>0</v>
      </c>
      <c r="FN32" s="77">
        <v>0</v>
      </c>
      <c r="FO32" s="77">
        <v>335211</v>
      </c>
    </row>
    <row r="33" spans="1:171" ht="12.75">
      <c r="A33" s="75" t="s">
        <v>37</v>
      </c>
      <c r="B33" s="50">
        <f t="shared" si="44"/>
        <v>3852887.11504</v>
      </c>
      <c r="C33" s="50">
        <f t="shared" si="44"/>
        <v>2875526.0009999997</v>
      </c>
      <c r="D33" s="161">
        <f t="shared" si="44"/>
        <v>3527567.9286</v>
      </c>
      <c r="E33" s="161">
        <f>J33+N33+R33+V33+Z33+AC33+AG33+AK33+AO33+AW33+BA33+BE33+BI33+BM33+BQ33+BU33+BY33+CC33+CG33+CK33+CO33+CR33+CV33+CZ33+DD33+DH33+DL33+DP33+DT33+DX33+EB33+EF33+EJ33+EN33+ER33+EV33+EZ33+FD33+FH33</f>
        <v>5028835.89804</v>
      </c>
      <c r="F33" s="50">
        <f>391477.501+107329.218+44261.391</f>
        <v>543068.11</v>
      </c>
      <c r="G33" s="106">
        <f>261246.93+69030.747</f>
        <v>330277.677</v>
      </c>
      <c r="H33" s="77">
        <f>369345.617+51083.283</f>
        <v>420428.9</v>
      </c>
      <c r="I33" s="77">
        <f>163364+82146</f>
        <v>245510</v>
      </c>
      <c r="J33" s="50">
        <v>0</v>
      </c>
      <c r="K33" s="113">
        <f>183284.121</f>
        <v>183284.121</v>
      </c>
      <c r="L33" s="110">
        <v>268142.633</v>
      </c>
      <c r="M33" s="110"/>
      <c r="N33" s="50">
        <v>0</v>
      </c>
      <c r="O33" s="77">
        <f>156131.484+140151</f>
        <v>296282.484</v>
      </c>
      <c r="P33" s="110">
        <v>12270.065</v>
      </c>
      <c r="Q33" s="110">
        <v>40654</v>
      </c>
      <c r="R33" s="50">
        <v>0</v>
      </c>
      <c r="S33" s="114">
        <v>0</v>
      </c>
      <c r="T33" s="77">
        <v>0</v>
      </c>
      <c r="U33" s="77">
        <f>7666+430</f>
        <v>8096</v>
      </c>
      <c r="V33" s="50">
        <v>0</v>
      </c>
      <c r="W33" s="50">
        <v>0</v>
      </c>
      <c r="X33" s="77">
        <v>0</v>
      </c>
      <c r="Y33" s="77">
        <v>103891</v>
      </c>
      <c r="Z33" s="50">
        <v>50500</v>
      </c>
      <c r="AA33" s="114">
        <v>0</v>
      </c>
      <c r="AB33" s="77"/>
      <c r="AC33" s="114">
        <v>0</v>
      </c>
      <c r="AD33" s="114">
        <v>0</v>
      </c>
      <c r="AE33" s="134">
        <v>0</v>
      </c>
      <c r="AF33" s="77">
        <v>50440</v>
      </c>
      <c r="AG33" s="50">
        <f>5015.66201+9858</f>
        <v>14873.66201</v>
      </c>
      <c r="AH33" s="123">
        <v>7539.935</v>
      </c>
      <c r="AI33" s="77">
        <v>10500.867</v>
      </c>
      <c r="AJ33" s="77">
        <v>98208</v>
      </c>
      <c r="AK33" s="114">
        <v>0</v>
      </c>
      <c r="AL33" s="114">
        <v>0</v>
      </c>
      <c r="AM33" s="134">
        <v>0</v>
      </c>
      <c r="AN33" s="134">
        <v>0</v>
      </c>
      <c r="AO33" s="114">
        <v>0</v>
      </c>
      <c r="AP33" s="114">
        <v>0</v>
      </c>
      <c r="AQ33" s="134">
        <v>67307</v>
      </c>
      <c r="AR33" s="134">
        <v>11736</v>
      </c>
      <c r="AS33" s="50">
        <v>1859</v>
      </c>
      <c r="AT33" s="130">
        <v>4809</v>
      </c>
      <c r="AU33" s="183">
        <v>1349</v>
      </c>
      <c r="AV33" s="183">
        <v>12078</v>
      </c>
      <c r="AW33" s="50">
        <v>0</v>
      </c>
      <c r="AX33" s="114">
        <v>0</v>
      </c>
      <c r="AY33" s="77">
        <v>0</v>
      </c>
      <c r="AZ33" s="77">
        <v>0</v>
      </c>
      <c r="BA33" s="50">
        <v>116438</v>
      </c>
      <c r="BB33" s="114">
        <v>0</v>
      </c>
      <c r="BC33" s="77">
        <v>0</v>
      </c>
      <c r="BD33" s="77">
        <f>254334+18265</f>
        <v>272599</v>
      </c>
      <c r="BE33" s="50">
        <v>0</v>
      </c>
      <c r="BF33" s="114">
        <f>213141-10080</f>
        <v>203061</v>
      </c>
      <c r="BG33" s="77">
        <v>6541.942</v>
      </c>
      <c r="BH33" s="77"/>
      <c r="BI33" s="50">
        <v>0</v>
      </c>
      <c r="BJ33" s="114">
        <f>6081-2295</f>
        <v>3786</v>
      </c>
      <c r="BK33" s="77">
        <v>0</v>
      </c>
      <c r="BL33" s="77">
        <v>2908</v>
      </c>
      <c r="BM33" s="50">
        <f>1414979+103023+1120389+777</f>
        <v>2639168</v>
      </c>
      <c r="BN33" s="114">
        <f>1058311+553745</f>
        <v>1612056</v>
      </c>
      <c r="BO33" s="77">
        <f>156298+922544+1340289</f>
        <v>2419131</v>
      </c>
      <c r="BP33" s="77">
        <f>271969+700987</f>
        <v>972956</v>
      </c>
      <c r="BQ33" s="114">
        <v>0</v>
      </c>
      <c r="BR33" s="114">
        <v>0</v>
      </c>
      <c r="BS33" s="134">
        <v>11955</v>
      </c>
      <c r="BT33" s="134"/>
      <c r="BU33" s="50">
        <f>1164.615+7626.5643</f>
        <v>8791.1793</v>
      </c>
      <c r="BV33" s="114">
        <f>1306.463+90</f>
        <v>1396.463</v>
      </c>
      <c r="BW33" s="77">
        <v>1306.463</v>
      </c>
      <c r="BX33" s="77">
        <v>1247</v>
      </c>
      <c r="BY33" s="125">
        <v>24984.127</v>
      </c>
      <c r="BZ33" s="125">
        <v>35968.891</v>
      </c>
      <c r="CA33" s="77">
        <v>11061</v>
      </c>
      <c r="CB33" s="77">
        <v>11309</v>
      </c>
      <c r="CC33" s="125">
        <v>0</v>
      </c>
      <c r="CD33" s="125">
        <v>0</v>
      </c>
      <c r="CE33" s="77">
        <v>23923</v>
      </c>
      <c r="CF33" s="77"/>
      <c r="CG33" s="50">
        <v>12292.255</v>
      </c>
      <c r="CH33" s="114">
        <v>8921.039</v>
      </c>
      <c r="CI33" s="77">
        <v>4331.98</v>
      </c>
      <c r="CJ33" s="77">
        <v>8847</v>
      </c>
      <c r="CK33" s="50">
        <v>0</v>
      </c>
      <c r="CL33" s="125">
        <v>1714.435</v>
      </c>
      <c r="CM33" s="127">
        <v>1030.824</v>
      </c>
      <c r="CN33" s="127"/>
      <c r="CO33" s="63">
        <v>0</v>
      </c>
      <c r="CP33" s="125">
        <v>0</v>
      </c>
      <c r="CQ33" s="77">
        <v>0</v>
      </c>
      <c r="CR33" s="125">
        <v>0</v>
      </c>
      <c r="CS33" s="125">
        <v>0</v>
      </c>
      <c r="CT33" s="77">
        <v>0</v>
      </c>
      <c r="CU33" s="77">
        <v>0</v>
      </c>
      <c r="CV33" s="50">
        <v>0</v>
      </c>
      <c r="CW33" s="125">
        <v>34753.46</v>
      </c>
      <c r="CX33" s="77">
        <v>3426.1</v>
      </c>
      <c r="CY33" s="77"/>
      <c r="CZ33" s="50">
        <v>0</v>
      </c>
      <c r="DA33" s="125">
        <v>0</v>
      </c>
      <c r="DB33" s="77">
        <v>0</v>
      </c>
      <c r="DC33" s="77">
        <v>0</v>
      </c>
      <c r="DD33" s="50">
        <f>295892.60673+55900</f>
        <v>351792.60673</v>
      </c>
      <c r="DE33" s="114">
        <v>14069.576</v>
      </c>
      <c r="DF33" s="77">
        <v>84406.843</v>
      </c>
      <c r="DG33" s="77">
        <v>31587</v>
      </c>
      <c r="DH33" s="125">
        <v>0</v>
      </c>
      <c r="DI33" s="125">
        <v>0</v>
      </c>
      <c r="DJ33" s="77">
        <v>0</v>
      </c>
      <c r="DK33" s="77">
        <v>0</v>
      </c>
      <c r="DL33" s="50">
        <f>3603.116+10922.171</f>
        <v>14525.287</v>
      </c>
      <c r="DM33" s="125">
        <v>0</v>
      </c>
      <c r="DN33" s="77">
        <v>0</v>
      </c>
      <c r="DO33" s="77">
        <v>0</v>
      </c>
      <c r="DP33" s="50">
        <v>0</v>
      </c>
      <c r="DQ33" s="125">
        <v>21920</v>
      </c>
      <c r="DR33" s="77">
        <v>2756</v>
      </c>
      <c r="DS33" s="77"/>
      <c r="DT33" s="50">
        <v>0</v>
      </c>
      <c r="DU33" s="125">
        <v>1138</v>
      </c>
      <c r="DV33" s="77">
        <v>65250</v>
      </c>
      <c r="DW33" s="77"/>
      <c r="DX33" s="50">
        <v>0</v>
      </c>
      <c r="DY33" s="125">
        <f>13578.511-1878.562</f>
        <v>11699.949</v>
      </c>
      <c r="DZ33" s="77">
        <v>1197.6736</v>
      </c>
      <c r="EA33" s="77">
        <v>4151</v>
      </c>
      <c r="EB33" s="50">
        <v>0</v>
      </c>
      <c r="EC33" s="130">
        <v>30076.631</v>
      </c>
      <c r="ED33" s="77">
        <v>0</v>
      </c>
      <c r="EE33" s="77">
        <v>38886</v>
      </c>
      <c r="EF33" s="50">
        <v>34760.061</v>
      </c>
      <c r="EG33" s="125">
        <v>28853.887</v>
      </c>
      <c r="EH33" s="77">
        <v>44153.841</v>
      </c>
      <c r="EI33" s="77">
        <v>28790</v>
      </c>
      <c r="EJ33" s="50">
        <f>6642.566+9042</f>
        <v>15684.565999999999</v>
      </c>
      <c r="EK33" s="125">
        <v>10415.584</v>
      </c>
      <c r="EL33" s="77">
        <f>10996.839+17482.744</f>
        <v>28479.583</v>
      </c>
      <c r="EM33" s="77">
        <f>8436+5448</f>
        <v>13884</v>
      </c>
      <c r="EN33" s="50">
        <v>221</v>
      </c>
      <c r="EO33" s="125">
        <v>0</v>
      </c>
      <c r="EP33" s="77">
        <v>0</v>
      </c>
      <c r="EQ33" s="77">
        <v>0</v>
      </c>
      <c r="ER33" s="131">
        <v>0</v>
      </c>
      <c r="ES33" s="131">
        <v>0</v>
      </c>
      <c r="ET33" s="77">
        <v>7823.214</v>
      </c>
      <c r="EU33" s="77"/>
      <c r="EV33" s="50">
        <f>20245.266+5542.995</f>
        <v>25788.261</v>
      </c>
      <c r="EW33" s="131">
        <v>23683.07</v>
      </c>
      <c r="EX33" s="77">
        <v>32144</v>
      </c>
      <c r="EY33" s="77">
        <v>65954</v>
      </c>
      <c r="EZ33" s="50">
        <v>0</v>
      </c>
      <c r="FA33" s="131">
        <v>14627.799</v>
      </c>
      <c r="FB33" s="77">
        <v>0</v>
      </c>
      <c r="FC33" s="77">
        <v>0</v>
      </c>
      <c r="FD33" s="50">
        <v>0</v>
      </c>
      <c r="FE33" s="131">
        <v>0</v>
      </c>
      <c r="FF33" s="77">
        <v>0</v>
      </c>
      <c r="FG33" s="77">
        <v>0</v>
      </c>
      <c r="FH33" s="60">
        <f>252050.551+1466966.342</f>
        <v>1719016.893</v>
      </c>
      <c r="FI33" s="179">
        <v>0</v>
      </c>
      <c r="FJ33" s="77">
        <v>0</v>
      </c>
      <c r="FK33" s="77">
        <v>134496</v>
      </c>
      <c r="FL33" s="50"/>
      <c r="FM33" s="179">
        <v>0</v>
      </c>
      <c r="FN33" s="77">
        <v>0</v>
      </c>
      <c r="FO33" s="77">
        <v>64549</v>
      </c>
    </row>
    <row r="34" spans="1:171" ht="12.75">
      <c r="A34" s="52" t="s">
        <v>38</v>
      </c>
      <c r="B34" s="50">
        <f t="shared" si="44"/>
        <v>156659</v>
      </c>
      <c r="C34" s="50">
        <f t="shared" si="44"/>
        <v>1850556.73</v>
      </c>
      <c r="D34" s="161">
        <f t="shared" si="44"/>
        <v>1745834.203</v>
      </c>
      <c r="E34" s="161">
        <f>J34+N34+R34+V34+Z34+AC34+AG34+AK34+AO34+AW34+BA34+BE34+BI34+BM34+BQ34+BU34+BY34+CC34+CG34+CK34+CO34+CR34+CV34+CZ34+DD34+DH34+DL34+DP34+DT34+DX34+EB34+EF34+EJ34+EN34+ER34+EV34+EZ34+FD34+FH34</f>
        <v>326594</v>
      </c>
      <c r="F34" s="50">
        <v>0</v>
      </c>
      <c r="G34" s="106">
        <v>106852.546</v>
      </c>
      <c r="H34" s="77">
        <v>57621.002</v>
      </c>
      <c r="I34" s="77">
        <v>84130</v>
      </c>
      <c r="J34" s="50">
        <v>0</v>
      </c>
      <c r="K34" s="106">
        <v>46800.018</v>
      </c>
      <c r="L34" s="110">
        <v>74603.441</v>
      </c>
      <c r="M34" s="110"/>
      <c r="N34" s="50">
        <v>0</v>
      </c>
      <c r="O34" s="77">
        <v>-140151.346</v>
      </c>
      <c r="P34" s="110">
        <v>0</v>
      </c>
      <c r="Q34" s="110">
        <v>0</v>
      </c>
      <c r="R34" s="50">
        <v>7074</v>
      </c>
      <c r="S34" s="114">
        <v>4592</v>
      </c>
      <c r="T34" s="77">
        <v>4766</v>
      </c>
      <c r="U34" s="77">
        <v>7925</v>
      </c>
      <c r="V34" s="50">
        <v>0</v>
      </c>
      <c r="W34" s="50">
        <v>0</v>
      </c>
      <c r="X34" s="77">
        <v>0</v>
      </c>
      <c r="Y34" s="77">
        <v>0</v>
      </c>
      <c r="Z34" s="50">
        <v>0</v>
      </c>
      <c r="AA34" s="114">
        <v>0</v>
      </c>
      <c r="AB34" s="77"/>
      <c r="AC34" s="114">
        <v>0</v>
      </c>
      <c r="AD34" s="114">
        <v>0</v>
      </c>
      <c r="AE34" s="134">
        <v>0</v>
      </c>
      <c r="AF34" s="77"/>
      <c r="AG34" s="50">
        <v>0</v>
      </c>
      <c r="AH34" s="123">
        <v>6749</v>
      </c>
      <c r="AI34" s="77">
        <v>6303</v>
      </c>
      <c r="AJ34" s="77">
        <v>3908</v>
      </c>
      <c r="AK34" s="114">
        <v>0</v>
      </c>
      <c r="AL34" s="114">
        <v>0</v>
      </c>
      <c r="AM34" s="134">
        <v>0</v>
      </c>
      <c r="AN34" s="134">
        <v>0</v>
      </c>
      <c r="AO34" s="114">
        <v>0</v>
      </c>
      <c r="AP34" s="114">
        <v>0</v>
      </c>
      <c r="AQ34" s="134"/>
      <c r="AR34" s="134">
        <v>8927</v>
      </c>
      <c r="AS34" s="50">
        <v>19966</v>
      </c>
      <c r="AT34" s="130">
        <v>7900</v>
      </c>
      <c r="AU34" s="183">
        <v>12000</v>
      </c>
      <c r="AV34" s="183"/>
      <c r="AW34" s="50">
        <v>0</v>
      </c>
      <c r="AX34" s="114">
        <v>0</v>
      </c>
      <c r="AY34" s="77">
        <v>0</v>
      </c>
      <c r="AZ34" s="77">
        <v>0</v>
      </c>
      <c r="BA34" s="50">
        <v>0</v>
      </c>
      <c r="BB34" s="114">
        <f>1522068+1389</f>
        <v>1523457</v>
      </c>
      <c r="BC34" s="77">
        <f>1061215+16818</f>
        <v>1078033</v>
      </c>
      <c r="BD34" s="77"/>
      <c r="BE34" s="50">
        <v>0</v>
      </c>
      <c r="BF34" s="114">
        <v>10080</v>
      </c>
      <c r="BG34" s="77">
        <v>11359</v>
      </c>
      <c r="BH34" s="77"/>
      <c r="BI34" s="50">
        <v>0</v>
      </c>
      <c r="BJ34" s="114">
        <v>2295</v>
      </c>
      <c r="BK34" s="77">
        <v>0</v>
      </c>
      <c r="BL34" s="77">
        <v>0</v>
      </c>
      <c r="BM34" s="50">
        <v>54324</v>
      </c>
      <c r="BN34" s="114">
        <f>97594+1572</f>
        <v>99166</v>
      </c>
      <c r="BO34" s="77">
        <v>184780</v>
      </c>
      <c r="BP34" s="77">
        <v>431354</v>
      </c>
      <c r="BQ34" s="114">
        <v>0</v>
      </c>
      <c r="BR34" s="114">
        <v>0</v>
      </c>
      <c r="BS34" s="134">
        <v>17763</v>
      </c>
      <c r="BT34" s="134">
        <v>6685</v>
      </c>
      <c r="BU34" s="50">
        <v>0</v>
      </c>
      <c r="BV34" s="114">
        <v>9553.865</v>
      </c>
      <c r="BW34" s="77">
        <v>11215.1</v>
      </c>
      <c r="BX34" s="77">
        <v>16486</v>
      </c>
      <c r="BY34" s="125">
        <v>9242</v>
      </c>
      <c r="BZ34" s="125">
        <v>8986</v>
      </c>
      <c r="CA34" s="77">
        <v>9009</v>
      </c>
      <c r="CB34" s="77">
        <v>12801</v>
      </c>
      <c r="CC34" s="125">
        <v>0</v>
      </c>
      <c r="CD34" s="125">
        <v>0</v>
      </c>
      <c r="CE34" s="77">
        <v>5278</v>
      </c>
      <c r="CF34" s="77"/>
      <c r="CG34" s="50">
        <v>43725</v>
      </c>
      <c r="CH34" s="114">
        <v>50972</v>
      </c>
      <c r="CI34" s="77">
        <v>59446</v>
      </c>
      <c r="CJ34" s="77">
        <v>86233</v>
      </c>
      <c r="CK34" s="50">
        <v>0</v>
      </c>
      <c r="CL34" s="125">
        <v>0</v>
      </c>
      <c r="CM34" s="128">
        <v>-17962</v>
      </c>
      <c r="CN34" s="128"/>
      <c r="CO34" s="63">
        <v>0</v>
      </c>
      <c r="CP34" s="125">
        <v>0</v>
      </c>
      <c r="CQ34" s="77">
        <v>0</v>
      </c>
      <c r="CR34" s="125">
        <v>0</v>
      </c>
      <c r="CS34" s="125">
        <v>0</v>
      </c>
      <c r="CT34" s="77">
        <v>0</v>
      </c>
      <c r="CU34" s="77">
        <v>0</v>
      </c>
      <c r="CV34" s="50">
        <v>10477</v>
      </c>
      <c r="CW34" s="125">
        <v>20043</v>
      </c>
      <c r="CX34" s="77">
        <v>8020</v>
      </c>
      <c r="CY34" s="77"/>
      <c r="CZ34" s="50">
        <v>0</v>
      </c>
      <c r="DA34" s="125">
        <v>0</v>
      </c>
      <c r="DB34" s="77">
        <v>0</v>
      </c>
      <c r="DC34" s="77">
        <v>0</v>
      </c>
      <c r="DD34" s="50">
        <v>0</v>
      </c>
      <c r="DE34" s="114">
        <v>45656</v>
      </c>
      <c r="DF34" s="77">
        <v>41964</v>
      </c>
      <c r="DG34" s="77">
        <v>5803</v>
      </c>
      <c r="DH34" s="125">
        <v>0</v>
      </c>
      <c r="DI34" s="125">
        <v>0</v>
      </c>
      <c r="DJ34" s="77">
        <v>0</v>
      </c>
      <c r="DK34" s="77">
        <v>0</v>
      </c>
      <c r="DL34" s="50">
        <v>0</v>
      </c>
      <c r="DM34" s="125">
        <v>0</v>
      </c>
      <c r="DN34" s="77">
        <v>0</v>
      </c>
      <c r="DO34" s="77">
        <v>0</v>
      </c>
      <c r="DP34" s="50">
        <v>0</v>
      </c>
      <c r="DQ34" s="125">
        <v>0</v>
      </c>
      <c r="DR34" s="77">
        <v>0</v>
      </c>
      <c r="DS34" s="77">
        <v>0</v>
      </c>
      <c r="DT34" s="50">
        <v>0</v>
      </c>
      <c r="DU34" s="125">
        <v>0</v>
      </c>
      <c r="DV34" s="77">
        <v>0</v>
      </c>
      <c r="DW34" s="77">
        <v>0</v>
      </c>
      <c r="DX34" s="50">
        <v>0</v>
      </c>
      <c r="DY34" s="125">
        <v>14613.923</v>
      </c>
      <c r="DZ34" s="77">
        <v>22322</v>
      </c>
      <c r="EA34" s="77">
        <v>33585</v>
      </c>
      <c r="EB34" s="50">
        <v>0</v>
      </c>
      <c r="EC34" s="130">
        <v>0</v>
      </c>
      <c r="ED34" s="77">
        <v>0</v>
      </c>
      <c r="EE34" s="77">
        <v>53059</v>
      </c>
      <c r="EF34" s="50">
        <v>27798</v>
      </c>
      <c r="EG34" s="125">
        <v>32602.308</v>
      </c>
      <c r="EH34" s="77">
        <v>116790</v>
      </c>
      <c r="EI34" s="77">
        <v>132446</v>
      </c>
      <c r="EJ34" s="50">
        <f>4019</f>
        <v>4019</v>
      </c>
      <c r="EK34" s="125">
        <f>2678.416</f>
        <v>2678.416</v>
      </c>
      <c r="EL34" s="77">
        <f>1454.66</f>
        <v>1454.66</v>
      </c>
      <c r="EM34" s="77"/>
      <c r="EN34" s="50">
        <v>0</v>
      </c>
      <c r="EO34" s="125">
        <v>0</v>
      </c>
      <c r="EP34" s="77">
        <v>0</v>
      </c>
      <c r="EQ34" s="77">
        <v>0</v>
      </c>
      <c r="ER34" s="131">
        <v>0</v>
      </c>
      <c r="ES34" s="131">
        <v>0</v>
      </c>
      <c r="ET34" s="77">
        <v>8803</v>
      </c>
      <c r="EU34" s="77"/>
      <c r="EV34" s="50">
        <v>0</v>
      </c>
      <c r="EW34" s="131">
        <v>0</v>
      </c>
      <c r="EX34" s="77">
        <v>41276</v>
      </c>
      <c r="EY34" s="77">
        <v>56594</v>
      </c>
      <c r="EZ34" s="50">
        <v>0</v>
      </c>
      <c r="FA34" s="131">
        <v>5611</v>
      </c>
      <c r="FB34" s="77">
        <v>2990</v>
      </c>
      <c r="FC34" s="77"/>
      <c r="FD34" s="50">
        <v>0</v>
      </c>
      <c r="FE34" s="131">
        <v>0</v>
      </c>
      <c r="FF34" s="77">
        <v>0</v>
      </c>
      <c r="FG34" s="77">
        <v>0</v>
      </c>
      <c r="FH34" s="60">
        <v>169935</v>
      </c>
      <c r="FI34" s="179">
        <v>0</v>
      </c>
      <c r="FJ34" s="77">
        <v>0</v>
      </c>
      <c r="FK34" s="77">
        <v>507331</v>
      </c>
      <c r="FL34" s="50"/>
      <c r="FM34" s="179">
        <v>0</v>
      </c>
      <c r="FN34" s="77">
        <v>0</v>
      </c>
      <c r="FO34" s="77">
        <v>0</v>
      </c>
    </row>
    <row r="35" spans="1:171" ht="12.75">
      <c r="A35" s="53" t="s">
        <v>39</v>
      </c>
      <c r="B35" s="51">
        <f>SUM(B32:B34)</f>
        <v>44447367.88211998</v>
      </c>
      <c r="C35" s="51">
        <f>SUM(C32:C34)</f>
        <v>40594652.95</v>
      </c>
      <c r="D35" s="162">
        <f>SUM(D32:D34)</f>
        <v>66488661.352699995</v>
      </c>
      <c r="E35" s="162">
        <f>SUM(E32:E34)</f>
        <v>46219496.71011999</v>
      </c>
      <c r="F35" s="51">
        <f aca="true" t="shared" si="45" ref="F35:AI35">SUM(F32:F34)</f>
        <v>3382852.162</v>
      </c>
      <c r="G35" s="107">
        <f t="shared" si="45"/>
        <v>3348841.632</v>
      </c>
      <c r="H35" s="78">
        <f t="shared" si="45"/>
        <v>3431653.148</v>
      </c>
      <c r="I35" s="78">
        <f>SUM(I32:I34)</f>
        <v>3356718</v>
      </c>
      <c r="J35" s="51">
        <f t="shared" si="45"/>
        <v>0</v>
      </c>
      <c r="K35" s="107">
        <f t="shared" si="45"/>
        <v>1959030.565</v>
      </c>
      <c r="L35" s="111">
        <f t="shared" si="45"/>
        <v>2335319.946</v>
      </c>
      <c r="M35" s="111">
        <f>SUM(M32:M34)</f>
        <v>0</v>
      </c>
      <c r="N35" s="51">
        <f t="shared" si="45"/>
        <v>0</v>
      </c>
      <c r="O35" s="78">
        <f t="shared" si="45"/>
        <v>504093.7969999999</v>
      </c>
      <c r="P35" s="111">
        <f t="shared" si="45"/>
        <v>380624.787</v>
      </c>
      <c r="Q35" s="111">
        <f>SUM(Q32:Q34)</f>
        <v>522921</v>
      </c>
      <c r="R35" s="51">
        <f>SUM(R32:R34)</f>
        <v>838533</v>
      </c>
      <c r="S35" s="107">
        <f>SUM(S32:S34)</f>
        <v>826420</v>
      </c>
      <c r="T35" s="80">
        <f t="shared" si="45"/>
        <v>700503</v>
      </c>
      <c r="U35" s="80">
        <f>SUM(U32:U34)</f>
        <v>1485638</v>
      </c>
      <c r="V35" s="51">
        <f>SUM(V32:V34)</f>
        <v>0</v>
      </c>
      <c r="W35" s="51">
        <f>SUM(W32:W34)</f>
        <v>0</v>
      </c>
      <c r="X35" s="80">
        <f t="shared" si="45"/>
        <v>2018636</v>
      </c>
      <c r="Y35" s="80">
        <f>SUM(Y32:Y34)</f>
        <v>2240523</v>
      </c>
      <c r="Z35" s="51">
        <f>SUM(Z32:Z34)</f>
        <v>959763.4941</v>
      </c>
      <c r="AA35" s="107">
        <f>SUM(AA32:AA34)</f>
        <v>0</v>
      </c>
      <c r="AB35" s="80">
        <f t="shared" si="45"/>
        <v>2036182</v>
      </c>
      <c r="AC35" s="107">
        <f t="shared" si="45"/>
        <v>0</v>
      </c>
      <c r="AD35" s="107">
        <f t="shared" si="45"/>
        <v>0</v>
      </c>
      <c r="AE35" s="111">
        <f t="shared" si="45"/>
        <v>0</v>
      </c>
      <c r="AF35" s="80">
        <f>SUM(AF32:AF34)</f>
        <v>10471540</v>
      </c>
      <c r="AG35" s="51">
        <f t="shared" si="45"/>
        <v>714891.1993900001</v>
      </c>
      <c r="AH35" s="122">
        <f t="shared" si="45"/>
        <v>676564.618</v>
      </c>
      <c r="AI35" s="80">
        <f t="shared" si="45"/>
        <v>581238.6959999999</v>
      </c>
      <c r="AJ35" s="80">
        <f>SUM(AJ32:AJ34)</f>
        <v>519326</v>
      </c>
      <c r="AK35" s="107">
        <f aca="true" t="shared" si="46" ref="AK35:AQ35">SUM(AK32:AK34)</f>
        <v>0</v>
      </c>
      <c r="AL35" s="107">
        <f t="shared" si="46"/>
        <v>0</v>
      </c>
      <c r="AM35" s="111">
        <f t="shared" si="46"/>
        <v>0</v>
      </c>
      <c r="AN35" s="111">
        <f>SUM(AN32:AN34)</f>
        <v>0</v>
      </c>
      <c r="AO35" s="107">
        <f t="shared" si="46"/>
        <v>0</v>
      </c>
      <c r="AP35" s="107">
        <f t="shared" si="46"/>
        <v>0</v>
      </c>
      <c r="AQ35" s="111">
        <f t="shared" si="46"/>
        <v>1067300</v>
      </c>
      <c r="AR35" s="111">
        <f aca="true" t="shared" si="47" ref="AR35:BT35">SUM(AR32:AR34)</f>
        <v>1230480</v>
      </c>
      <c r="AS35" s="51">
        <f>SUM(AS32:AS34)</f>
        <v>193198</v>
      </c>
      <c r="AT35" s="107">
        <f>SUM(AT32:AT34)</f>
        <v>338720</v>
      </c>
      <c r="AU35" s="185">
        <f>SUM(AU32:AU34)</f>
        <v>366262</v>
      </c>
      <c r="AV35" s="185">
        <f>SUM(AV32:AV34)</f>
        <v>11692840</v>
      </c>
      <c r="AW35" s="51">
        <f t="shared" si="47"/>
        <v>0</v>
      </c>
      <c r="AX35" s="107">
        <f t="shared" si="47"/>
        <v>25395</v>
      </c>
      <c r="AY35" s="78">
        <f t="shared" si="47"/>
        <v>79500</v>
      </c>
      <c r="AZ35" s="78">
        <f t="shared" si="47"/>
        <v>2027743</v>
      </c>
      <c r="BA35" s="51">
        <f t="shared" si="47"/>
        <v>26717181</v>
      </c>
      <c r="BB35" s="107">
        <f t="shared" si="47"/>
        <v>5890361</v>
      </c>
      <c r="BC35" s="78">
        <f t="shared" si="47"/>
        <v>20909943</v>
      </c>
      <c r="BD35" s="78">
        <f t="shared" si="47"/>
        <v>29688155</v>
      </c>
      <c r="BE35" s="51">
        <f t="shared" si="47"/>
        <v>0</v>
      </c>
      <c r="BF35" s="107">
        <f t="shared" si="47"/>
        <v>753359</v>
      </c>
      <c r="BG35" s="78">
        <f t="shared" si="47"/>
        <v>1314024.52</v>
      </c>
      <c r="BH35" s="78">
        <f t="shared" si="47"/>
        <v>1251819</v>
      </c>
      <c r="BI35" s="51">
        <f t="shared" si="47"/>
        <v>0</v>
      </c>
      <c r="BJ35" s="107">
        <f t="shared" si="47"/>
        <v>27880</v>
      </c>
      <c r="BK35" s="78">
        <f t="shared" si="47"/>
        <v>169979.704</v>
      </c>
      <c r="BL35" s="78">
        <f t="shared" si="47"/>
        <v>888310</v>
      </c>
      <c r="BM35" s="51">
        <f t="shared" si="47"/>
        <v>3696276</v>
      </c>
      <c r="BN35" s="107">
        <f t="shared" si="47"/>
        <v>12355457</v>
      </c>
      <c r="BO35" s="78">
        <f t="shared" si="47"/>
        <v>14104360</v>
      </c>
      <c r="BP35" s="78">
        <f t="shared" si="47"/>
        <v>13986261</v>
      </c>
      <c r="BQ35" s="107">
        <f t="shared" si="47"/>
        <v>0</v>
      </c>
      <c r="BR35" s="107">
        <f t="shared" si="47"/>
        <v>0</v>
      </c>
      <c r="BS35" s="111">
        <f t="shared" si="47"/>
        <v>618403</v>
      </c>
      <c r="BT35" s="111">
        <f t="shared" si="47"/>
        <v>395431</v>
      </c>
      <c r="BU35" s="51">
        <f aca="true" t="shared" si="48" ref="BU35:CE35">SUM(BU32:BU34)</f>
        <v>136677.34738</v>
      </c>
      <c r="BV35" s="107">
        <f t="shared" si="48"/>
        <v>225390.68399999998</v>
      </c>
      <c r="BW35" s="78">
        <f t="shared" si="48"/>
        <v>425189.1331</v>
      </c>
      <c r="BX35" s="78">
        <f>SUM(BX32:BX34)</f>
        <v>435362</v>
      </c>
      <c r="BY35" s="107">
        <f t="shared" si="48"/>
        <v>595862.7119999999</v>
      </c>
      <c r="BZ35" s="107">
        <f t="shared" si="48"/>
        <v>725897.794</v>
      </c>
      <c r="CA35" s="78">
        <f t="shared" si="48"/>
        <v>593768</v>
      </c>
      <c r="CB35" s="78">
        <f>SUM(CB32:CB34)</f>
        <v>847385</v>
      </c>
      <c r="CC35" s="107">
        <f t="shared" si="48"/>
        <v>0</v>
      </c>
      <c r="CD35" s="107">
        <f t="shared" si="48"/>
        <v>0</v>
      </c>
      <c r="CE35" s="78">
        <f t="shared" si="48"/>
        <v>663143</v>
      </c>
      <c r="CF35" s="78">
        <f>SUM(CF32:CF34)</f>
        <v>0</v>
      </c>
      <c r="CG35" s="51">
        <f>SUM(CG32:CG34)</f>
        <v>1900506.3709999998</v>
      </c>
      <c r="CH35" s="107">
        <f>SUM(CH32:CH34)</f>
        <v>1510897.8360000001</v>
      </c>
      <c r="CI35" s="78">
        <f>SUM(CI32:CI34)</f>
        <v>1571049.475</v>
      </c>
      <c r="CJ35" s="78">
        <f>SUM(CJ32:CJ34)</f>
        <v>1506145</v>
      </c>
      <c r="CK35" s="51">
        <f aca="true" t="shared" si="49" ref="CK35:DA35">SUM(CK32:CK34)</f>
        <v>0</v>
      </c>
      <c r="CL35" s="107">
        <f t="shared" si="49"/>
        <v>220670.601</v>
      </c>
      <c r="CM35" s="111">
        <f t="shared" si="49"/>
        <v>206170.115</v>
      </c>
      <c r="CN35" s="111">
        <f>SUM(CN32:CN34)</f>
        <v>332112</v>
      </c>
      <c r="CO35" s="64">
        <f t="shared" si="49"/>
        <v>0</v>
      </c>
      <c r="CP35" s="107">
        <f t="shared" si="49"/>
        <v>0</v>
      </c>
      <c r="CQ35" s="78">
        <f t="shared" si="49"/>
        <v>0</v>
      </c>
      <c r="CR35" s="107">
        <f t="shared" si="49"/>
        <v>0</v>
      </c>
      <c r="CS35" s="107">
        <f t="shared" si="49"/>
        <v>0</v>
      </c>
      <c r="CT35" s="78">
        <f t="shared" si="49"/>
        <v>0</v>
      </c>
      <c r="CU35" s="78">
        <f>SUM(CU32:CU34)</f>
        <v>1021076</v>
      </c>
      <c r="CV35" s="51">
        <f t="shared" si="49"/>
        <v>470989</v>
      </c>
      <c r="CW35" s="107">
        <f t="shared" si="49"/>
        <v>614978.367</v>
      </c>
      <c r="CX35" s="78">
        <f t="shared" si="49"/>
        <v>248404.899</v>
      </c>
      <c r="CY35" s="78">
        <f>SUM(CY32:CY34)</f>
        <v>278934</v>
      </c>
      <c r="CZ35" s="51">
        <f t="shared" si="49"/>
        <v>0</v>
      </c>
      <c r="DA35" s="107">
        <f t="shared" si="49"/>
        <v>1005949</v>
      </c>
      <c r="DB35" s="78">
        <f aca="true" t="shared" si="50" ref="DB35:DO35">SUM(DB32:DB34)</f>
        <v>1220589</v>
      </c>
      <c r="DC35" s="78">
        <f t="shared" si="50"/>
        <v>1266332</v>
      </c>
      <c r="DD35" s="51">
        <f t="shared" si="50"/>
        <v>1603235.5492500002</v>
      </c>
      <c r="DE35" s="107">
        <f t="shared" si="50"/>
        <v>1209385.559</v>
      </c>
      <c r="DF35" s="78">
        <f t="shared" si="50"/>
        <v>1455927.299</v>
      </c>
      <c r="DG35" s="78">
        <f t="shared" si="50"/>
        <v>1142011</v>
      </c>
      <c r="DH35" s="107">
        <f t="shared" si="50"/>
        <v>0</v>
      </c>
      <c r="DI35" s="107">
        <f t="shared" si="50"/>
        <v>0</v>
      </c>
      <c r="DJ35" s="78">
        <f t="shared" si="50"/>
        <v>0</v>
      </c>
      <c r="DK35" s="78">
        <f t="shared" si="50"/>
        <v>0</v>
      </c>
      <c r="DL35" s="51">
        <f t="shared" si="50"/>
        <v>415049.783</v>
      </c>
      <c r="DM35" s="107">
        <f t="shared" si="50"/>
        <v>0</v>
      </c>
      <c r="DN35" s="78">
        <f t="shared" si="50"/>
        <v>0</v>
      </c>
      <c r="DO35" s="78">
        <f t="shared" si="50"/>
        <v>0</v>
      </c>
      <c r="DP35" s="51">
        <f aca="true" t="shared" si="51" ref="DP35:FJ35">SUM(DP32:DP34)</f>
        <v>0</v>
      </c>
      <c r="DQ35" s="107">
        <f t="shared" si="51"/>
        <v>348895.909</v>
      </c>
      <c r="DR35" s="78">
        <f t="shared" si="51"/>
        <v>112642</v>
      </c>
      <c r="DS35" s="78">
        <f>SUM(DS32:DS34)</f>
        <v>61050</v>
      </c>
      <c r="DT35" s="51">
        <f t="shared" si="51"/>
        <v>0</v>
      </c>
      <c r="DU35" s="107">
        <f t="shared" si="51"/>
        <v>282209</v>
      </c>
      <c r="DV35" s="78">
        <f t="shared" si="51"/>
        <v>420998.05</v>
      </c>
      <c r="DW35" s="78">
        <f>SUM(DW32:DW34)</f>
        <v>0</v>
      </c>
      <c r="DX35" s="51">
        <f t="shared" si="51"/>
        <v>0</v>
      </c>
      <c r="DY35" s="107">
        <f t="shared" si="51"/>
        <v>363692.48800000007</v>
      </c>
      <c r="DZ35" s="78">
        <f t="shared" si="51"/>
        <v>567309.6516</v>
      </c>
      <c r="EA35" s="78">
        <f>SUM(EA32:EA34)</f>
        <v>854027</v>
      </c>
      <c r="EB35" s="51">
        <f t="shared" si="51"/>
        <v>0</v>
      </c>
      <c r="EC35" s="107">
        <f t="shared" si="51"/>
        <v>2353345.81</v>
      </c>
      <c r="ED35" s="78">
        <f t="shared" si="51"/>
        <v>2301682.94</v>
      </c>
      <c r="EE35" s="78">
        <f>SUM(EE32:EE34)</f>
        <v>2086818</v>
      </c>
      <c r="EF35" s="51">
        <f t="shared" si="51"/>
        <v>2048870.819</v>
      </c>
      <c r="EG35" s="107">
        <f t="shared" si="51"/>
        <v>2506988.697</v>
      </c>
      <c r="EH35" s="78">
        <f t="shared" si="51"/>
        <v>2887240.1119999997</v>
      </c>
      <c r="EI35" s="78">
        <f>SUM(EI32:EI34)</f>
        <v>3675303</v>
      </c>
      <c r="EJ35" s="51">
        <f t="shared" si="51"/>
        <v>452632.467</v>
      </c>
      <c r="EK35" s="107">
        <f t="shared" si="51"/>
        <v>644861.507</v>
      </c>
      <c r="EL35" s="78">
        <f t="shared" si="51"/>
        <v>667489.3310000001</v>
      </c>
      <c r="EM35" s="78">
        <f>SUM(EM32:EM34)</f>
        <v>934833</v>
      </c>
      <c r="EN35" s="51">
        <f t="shared" si="51"/>
        <v>52305.046</v>
      </c>
      <c r="EO35" s="107">
        <f t="shared" si="51"/>
        <v>14614.406</v>
      </c>
      <c r="EP35" s="78">
        <f t="shared" si="51"/>
        <v>0</v>
      </c>
      <c r="EQ35" s="78">
        <f aca="true" t="shared" si="52" ref="EQ35:EW35">SUM(EQ32:EQ34)</f>
        <v>0</v>
      </c>
      <c r="ER35" s="107">
        <f t="shared" si="52"/>
        <v>0</v>
      </c>
      <c r="ES35" s="107">
        <f t="shared" si="52"/>
        <v>0</v>
      </c>
      <c r="ET35" s="78">
        <f t="shared" si="52"/>
        <v>941674</v>
      </c>
      <c r="EU35" s="78">
        <f t="shared" si="52"/>
        <v>1051551</v>
      </c>
      <c r="EV35" s="51">
        <f t="shared" si="52"/>
        <v>367200.459</v>
      </c>
      <c r="EW35" s="107">
        <f t="shared" si="52"/>
        <v>1386447.8809999998</v>
      </c>
      <c r="EX35" s="78">
        <f t="shared" si="51"/>
        <v>1923614</v>
      </c>
      <c r="EY35" s="78">
        <f>SUM(EY32:EY34)</f>
        <v>3011876</v>
      </c>
      <c r="EZ35" s="51">
        <f>SUM(EZ32:EZ34)</f>
        <v>0</v>
      </c>
      <c r="FA35" s="107">
        <f>SUM(FA32:FA34)</f>
        <v>813024.799</v>
      </c>
      <c r="FB35" s="78">
        <f t="shared" si="51"/>
        <v>534102.546</v>
      </c>
      <c r="FC35" s="78">
        <f>SUM(FC32:FC34)</f>
        <v>0</v>
      </c>
      <c r="FD35" s="51">
        <f t="shared" si="51"/>
        <v>94541.473</v>
      </c>
      <c r="FE35" s="107">
        <f t="shared" si="51"/>
        <v>0</v>
      </c>
      <c r="FF35" s="78">
        <f t="shared" si="51"/>
        <v>0</v>
      </c>
      <c r="FG35" s="78">
        <f>SUM(FG32:FG34)</f>
        <v>0</v>
      </c>
      <c r="FH35" s="61">
        <f t="shared" si="51"/>
        <v>5154980.99</v>
      </c>
      <c r="FI35" s="107">
        <f t="shared" si="51"/>
        <v>0</v>
      </c>
      <c r="FJ35" s="78">
        <f t="shared" si="51"/>
        <v>0</v>
      </c>
      <c r="FK35" s="78">
        <f>SUM(FK32:FK34)</f>
        <v>7770932</v>
      </c>
      <c r="FL35" s="51"/>
      <c r="FM35" s="107">
        <f>SUM(FM32:FM34)</f>
        <v>0</v>
      </c>
      <c r="FN35" s="78">
        <f>SUM(FN32:FN34)</f>
        <v>0</v>
      </c>
      <c r="FO35" s="78">
        <f>SUM(FO32:FO34)</f>
        <v>399760</v>
      </c>
    </row>
    <row r="36" spans="1:171" ht="12.75">
      <c r="A36" s="53" t="s">
        <v>40</v>
      </c>
      <c r="B36" s="51">
        <f aca="true" t="shared" si="53" ref="B36:Q36">+B28-B32</f>
        <v>9482063.922440007</v>
      </c>
      <c r="C36" s="51">
        <f t="shared" si="53"/>
        <v>20346219.444000006</v>
      </c>
      <c r="D36" s="162">
        <f t="shared" si="53"/>
        <v>4938424.756899998</v>
      </c>
      <c r="E36" s="162">
        <f t="shared" si="53"/>
        <v>11135201.276440002</v>
      </c>
      <c r="F36" s="51">
        <f t="shared" si="53"/>
        <v>176060.8829999999</v>
      </c>
      <c r="G36" s="107">
        <f t="shared" si="53"/>
        <v>261631.5460000001</v>
      </c>
      <c r="H36" s="78">
        <f t="shared" si="53"/>
        <v>245166.3179999995</v>
      </c>
      <c r="I36" s="78">
        <f t="shared" si="53"/>
        <v>397487</v>
      </c>
      <c r="J36" s="51">
        <f t="shared" si="53"/>
        <v>0</v>
      </c>
      <c r="K36" s="107">
        <f t="shared" si="53"/>
        <v>325102.3500000001</v>
      </c>
      <c r="L36" s="111">
        <f t="shared" si="53"/>
        <v>494213.6669999999</v>
      </c>
      <c r="M36" s="111">
        <f t="shared" si="53"/>
        <v>0</v>
      </c>
      <c r="N36" s="51">
        <f t="shared" si="53"/>
        <v>0</v>
      </c>
      <c r="O36" s="78">
        <f t="shared" si="53"/>
        <v>22324.51900000003</v>
      </c>
      <c r="P36" s="111">
        <f t="shared" si="53"/>
        <v>19195.87400000001</v>
      </c>
      <c r="Q36" s="111">
        <f t="shared" si="53"/>
        <v>16558</v>
      </c>
      <c r="R36" s="51">
        <f aca="true" t="shared" si="54" ref="R36:AB36">+R28-R32</f>
        <v>21437</v>
      </c>
      <c r="S36" s="107">
        <f t="shared" si="54"/>
        <v>13156</v>
      </c>
      <c r="T36" s="80">
        <f t="shared" si="54"/>
        <v>12501</v>
      </c>
      <c r="U36" s="80">
        <f>+U28-U32</f>
        <v>7868</v>
      </c>
      <c r="V36" s="51">
        <f t="shared" si="54"/>
        <v>0</v>
      </c>
      <c r="W36" s="51">
        <f t="shared" si="54"/>
        <v>0</v>
      </c>
      <c r="X36" s="80">
        <f t="shared" si="54"/>
        <v>107563</v>
      </c>
      <c r="Y36" s="80">
        <f>+Y28-Y32</f>
        <v>243305</v>
      </c>
      <c r="Z36" s="51">
        <f t="shared" si="54"/>
        <v>50500</v>
      </c>
      <c r="AA36" s="107">
        <f t="shared" si="54"/>
        <v>0</v>
      </c>
      <c r="AB36" s="80">
        <f t="shared" si="54"/>
        <v>61818</v>
      </c>
      <c r="AC36" s="107">
        <f aca="true" t="shared" si="55" ref="AC36:AV36">+AC28-AC32</f>
        <v>0</v>
      </c>
      <c r="AD36" s="107">
        <f t="shared" si="55"/>
        <v>0</v>
      </c>
      <c r="AE36" s="111">
        <f t="shared" si="55"/>
        <v>0</v>
      </c>
      <c r="AF36" s="80">
        <f t="shared" si="55"/>
        <v>140138</v>
      </c>
      <c r="AG36" s="51">
        <f t="shared" si="55"/>
        <v>30257.425619999878</v>
      </c>
      <c r="AH36" s="122">
        <f t="shared" si="55"/>
        <v>25019.938000000082</v>
      </c>
      <c r="AI36" s="80">
        <f t="shared" si="55"/>
        <v>27800.74900000007</v>
      </c>
      <c r="AJ36" s="80">
        <f t="shared" si="55"/>
        <v>100653</v>
      </c>
      <c r="AK36" s="107">
        <f t="shared" si="55"/>
        <v>0</v>
      </c>
      <c r="AL36" s="107">
        <f t="shared" si="55"/>
        <v>0</v>
      </c>
      <c r="AM36" s="111">
        <f t="shared" si="55"/>
        <v>0</v>
      </c>
      <c r="AN36" s="111">
        <f t="shared" si="55"/>
        <v>0</v>
      </c>
      <c r="AO36" s="107">
        <f t="shared" si="55"/>
        <v>0</v>
      </c>
      <c r="AP36" s="107">
        <f t="shared" si="55"/>
        <v>0</v>
      </c>
      <c r="AQ36" s="111">
        <f t="shared" si="55"/>
        <v>68882</v>
      </c>
      <c r="AR36" s="111">
        <f t="shared" si="55"/>
        <v>17962</v>
      </c>
      <c r="AS36" s="51">
        <f>+AS28-AS32</f>
        <v>49682</v>
      </c>
      <c r="AT36" s="107">
        <f>+AT28-AT32</f>
        <v>7444</v>
      </c>
      <c r="AU36" s="185">
        <f>+AU28-AU32</f>
        <v>30313</v>
      </c>
      <c r="AV36" s="185">
        <f t="shared" si="55"/>
        <v>-497492</v>
      </c>
      <c r="AW36" s="51">
        <f aca="true" t="shared" si="56" ref="AW36:CP36">+AW28-AW32</f>
        <v>0</v>
      </c>
      <c r="AX36" s="107">
        <f t="shared" si="56"/>
        <v>1005</v>
      </c>
      <c r="AY36" s="78">
        <f t="shared" si="56"/>
        <v>4500</v>
      </c>
      <c r="AZ36" s="78">
        <f>+AZ28-AZ32</f>
        <v>58444</v>
      </c>
      <c r="BA36" s="51">
        <f t="shared" si="56"/>
        <v>-2967053</v>
      </c>
      <c r="BB36" s="107">
        <f t="shared" si="56"/>
        <v>16200402</v>
      </c>
      <c r="BC36" s="78">
        <f t="shared" si="56"/>
        <v>94143</v>
      </c>
      <c r="BD36" s="78">
        <f>+BD28-BD32</f>
        <v>-2751009</v>
      </c>
      <c r="BE36" s="51">
        <f t="shared" si="56"/>
        <v>0</v>
      </c>
      <c r="BF36" s="107">
        <f t="shared" si="56"/>
        <v>226641</v>
      </c>
      <c r="BG36" s="111">
        <f t="shared" si="56"/>
        <v>34448.97200000007</v>
      </c>
      <c r="BH36" s="111">
        <f>+BH28-BH32</f>
        <v>57501</v>
      </c>
      <c r="BI36" s="51">
        <f t="shared" si="56"/>
        <v>0</v>
      </c>
      <c r="BJ36" s="107">
        <f t="shared" si="56"/>
        <v>10742</v>
      </c>
      <c r="BK36" s="78">
        <f t="shared" si="56"/>
        <v>30240.79999999999</v>
      </c>
      <c r="BL36" s="78">
        <f>+BL28-BL32</f>
        <v>58075</v>
      </c>
      <c r="BM36" s="51">
        <f t="shared" si="56"/>
        <v>11627567</v>
      </c>
      <c r="BN36" s="107">
        <f t="shared" si="56"/>
        <v>2328329</v>
      </c>
      <c r="BO36" s="78">
        <f t="shared" si="56"/>
        <v>2473782</v>
      </c>
      <c r="BP36" s="78">
        <f>+BP28-BP32</f>
        <v>1288864</v>
      </c>
      <c r="BQ36" s="107">
        <f t="shared" si="56"/>
        <v>0</v>
      </c>
      <c r="BR36" s="107">
        <f t="shared" si="56"/>
        <v>0</v>
      </c>
      <c r="BS36" s="111">
        <f t="shared" si="56"/>
        <v>65737</v>
      </c>
      <c r="BT36" s="111">
        <f>+BT28-BT32</f>
        <v>18390</v>
      </c>
      <c r="BU36" s="51">
        <f t="shared" si="56"/>
        <v>-77697.58408</v>
      </c>
      <c r="BV36" s="107">
        <f t="shared" si="56"/>
        <v>30257.570999999996</v>
      </c>
      <c r="BW36" s="78">
        <f t="shared" si="56"/>
        <v>35291.614899999986</v>
      </c>
      <c r="BX36" s="78">
        <f>+BX28-BX32</f>
        <v>51204</v>
      </c>
      <c r="BY36" s="107">
        <f t="shared" si="56"/>
        <v>33536.41500000004</v>
      </c>
      <c r="BZ36" s="107">
        <f t="shared" si="56"/>
        <v>56647.09700000007</v>
      </c>
      <c r="CA36" s="78">
        <f t="shared" si="56"/>
        <v>30175</v>
      </c>
      <c r="CB36" s="78">
        <f>+CB28-CB32</f>
        <v>42828</v>
      </c>
      <c r="CC36" s="107">
        <f t="shared" si="56"/>
        <v>0</v>
      </c>
      <c r="CD36" s="107">
        <f t="shared" si="56"/>
        <v>0</v>
      </c>
      <c r="CE36" s="78">
        <f t="shared" si="56"/>
        <v>34119</v>
      </c>
      <c r="CF36" s="78">
        <f>+CF28-CF32</f>
        <v>0</v>
      </c>
      <c r="CG36" s="51">
        <f t="shared" si="56"/>
        <v>10321.219000000041</v>
      </c>
      <c r="CH36" s="107">
        <f t="shared" si="56"/>
        <v>72878.36499999999</v>
      </c>
      <c r="CI36" s="78">
        <f t="shared" si="56"/>
        <v>128741.22599999979</v>
      </c>
      <c r="CJ36" s="78">
        <f>+CJ28-CJ32</f>
        <v>160216</v>
      </c>
      <c r="CK36" s="51">
        <f t="shared" si="56"/>
        <v>0</v>
      </c>
      <c r="CL36" s="107">
        <f t="shared" si="56"/>
        <v>1714.2939999999944</v>
      </c>
      <c r="CM36" s="111">
        <f t="shared" si="56"/>
        <v>20355.50899999999</v>
      </c>
      <c r="CN36" s="111">
        <f>+CN28-CN32</f>
        <v>18922</v>
      </c>
      <c r="CO36" s="64">
        <f t="shared" si="56"/>
        <v>0</v>
      </c>
      <c r="CP36" s="107">
        <f t="shared" si="56"/>
        <v>0</v>
      </c>
      <c r="CQ36" s="78">
        <f aca="true" t="shared" si="57" ref="CQ36:EF36">+CQ28-CQ32</f>
        <v>0</v>
      </c>
      <c r="CR36" s="107">
        <f t="shared" si="57"/>
        <v>0</v>
      </c>
      <c r="CS36" s="107">
        <f t="shared" si="57"/>
        <v>0</v>
      </c>
      <c r="CT36" s="78">
        <f t="shared" si="57"/>
        <v>0</v>
      </c>
      <c r="CU36" s="78">
        <f>+CU28-CU32</f>
        <v>11893</v>
      </c>
      <c r="CV36" s="51">
        <f t="shared" si="57"/>
        <v>40421</v>
      </c>
      <c r="CW36" s="107">
        <f t="shared" si="57"/>
        <v>67880.58499999996</v>
      </c>
      <c r="CX36" s="78">
        <f t="shared" si="57"/>
        <v>27466.152000000002</v>
      </c>
      <c r="CY36" s="78">
        <f>+CY28-CY32</f>
        <v>26807</v>
      </c>
      <c r="CZ36" s="51">
        <f t="shared" si="57"/>
        <v>0</v>
      </c>
      <c r="DA36" s="107">
        <f t="shared" si="57"/>
        <v>133832</v>
      </c>
      <c r="DB36" s="78">
        <f t="shared" si="57"/>
        <v>158449</v>
      </c>
      <c r="DC36" s="78">
        <f>+DC28-DC32</f>
        <v>161500</v>
      </c>
      <c r="DD36" s="51">
        <f t="shared" si="57"/>
        <v>457073.63066</v>
      </c>
      <c r="DE36" s="107">
        <f t="shared" si="57"/>
        <v>139690.6669999999</v>
      </c>
      <c r="DF36" s="78">
        <f t="shared" si="57"/>
        <v>94131.23399999994</v>
      </c>
      <c r="DG36" s="78">
        <f>+DG28-DG32</f>
        <v>34406</v>
      </c>
      <c r="DH36" s="107">
        <f t="shared" si="57"/>
        <v>0</v>
      </c>
      <c r="DI36" s="107">
        <f t="shared" si="57"/>
        <v>0</v>
      </c>
      <c r="DJ36" s="78">
        <f t="shared" si="57"/>
        <v>0</v>
      </c>
      <c r="DK36" s="78">
        <f>+DK28-DK32</f>
        <v>0</v>
      </c>
      <c r="DL36" s="51">
        <f t="shared" si="57"/>
        <v>36699.004000000015</v>
      </c>
      <c r="DM36" s="107">
        <f t="shared" si="57"/>
        <v>0</v>
      </c>
      <c r="DN36" s="78">
        <f t="shared" si="57"/>
        <v>0</v>
      </c>
      <c r="DO36" s="78">
        <f>+DO28-DO32</f>
        <v>0</v>
      </c>
      <c r="DP36" s="51">
        <f t="shared" si="57"/>
        <v>0</v>
      </c>
      <c r="DQ36" s="107">
        <f t="shared" si="57"/>
        <v>39810</v>
      </c>
      <c r="DR36" s="78">
        <f t="shared" si="57"/>
        <v>5134</v>
      </c>
      <c r="DS36" s="78">
        <f>+DS28-DS32</f>
        <v>2450</v>
      </c>
      <c r="DT36" s="51">
        <f t="shared" si="57"/>
        <v>0</v>
      </c>
      <c r="DU36" s="107">
        <f t="shared" si="57"/>
        <v>2052</v>
      </c>
      <c r="DV36" s="78">
        <f t="shared" si="57"/>
        <v>69638.20000000001</v>
      </c>
      <c r="DW36" s="78">
        <f>+DW28-DW32</f>
        <v>0</v>
      </c>
      <c r="DX36" s="51">
        <f t="shared" si="57"/>
        <v>0</v>
      </c>
      <c r="DY36" s="107">
        <f t="shared" si="57"/>
        <v>55984.564999999944</v>
      </c>
      <c r="DZ36" s="78">
        <f t="shared" si="57"/>
        <v>54541.236999999965</v>
      </c>
      <c r="EA36" s="78">
        <f>+EA28-EA32</f>
        <v>-6086</v>
      </c>
      <c r="EB36" s="51">
        <f t="shared" si="57"/>
        <v>0</v>
      </c>
      <c r="EC36" s="107">
        <f t="shared" si="57"/>
        <v>101792.72599999979</v>
      </c>
      <c r="ED36" s="78">
        <f t="shared" si="57"/>
        <v>109970.68399999989</v>
      </c>
      <c r="EE36" s="78">
        <f>+EE28-EE32</f>
        <v>182778</v>
      </c>
      <c r="EF36" s="51">
        <f t="shared" si="57"/>
        <v>69026.57799999998</v>
      </c>
      <c r="EG36" s="107">
        <f aca="true" t="shared" si="58" ref="EG36:EQ36">+EG28-EG32</f>
        <v>93763.46900000004</v>
      </c>
      <c r="EH36" s="78">
        <f t="shared" si="58"/>
        <v>248087.8160000001</v>
      </c>
      <c r="EI36" s="78">
        <f t="shared" si="58"/>
        <v>403004</v>
      </c>
      <c r="EJ36" s="51">
        <f t="shared" si="58"/>
        <v>34783.59899999999</v>
      </c>
      <c r="EK36" s="107">
        <f t="shared" si="58"/>
        <v>23475.993000000017</v>
      </c>
      <c r="EL36" s="78">
        <f t="shared" si="58"/>
        <v>43018.03599999985</v>
      </c>
      <c r="EM36" s="78">
        <f t="shared" si="58"/>
        <v>51986</v>
      </c>
      <c r="EN36" s="51">
        <f t="shared" si="58"/>
        <v>-31843.288760000003</v>
      </c>
      <c r="EO36" s="107">
        <f t="shared" si="58"/>
        <v>-14614.406</v>
      </c>
      <c r="EP36" s="78">
        <f t="shared" si="58"/>
        <v>0</v>
      </c>
      <c r="EQ36" s="78">
        <f t="shared" si="58"/>
        <v>0</v>
      </c>
      <c r="ER36" s="107">
        <f aca="true" t="shared" si="59" ref="ER36:FB36">+ER28-ER32</f>
        <v>0</v>
      </c>
      <c r="ES36" s="107">
        <f t="shared" si="59"/>
        <v>0</v>
      </c>
      <c r="ET36" s="78">
        <f t="shared" si="59"/>
        <v>34499.214000000036</v>
      </c>
      <c r="EU36" s="78">
        <f>+EU28-EU32</f>
        <v>45523</v>
      </c>
      <c r="EV36" s="51">
        <f t="shared" si="59"/>
        <v>41676.764000000025</v>
      </c>
      <c r="EW36" s="107">
        <f t="shared" si="59"/>
        <v>92571.16500000027</v>
      </c>
      <c r="EX36" s="78">
        <f t="shared" si="59"/>
        <v>116031</v>
      </c>
      <c r="EY36" s="78">
        <f>+EY28-EY32</f>
        <v>216096</v>
      </c>
      <c r="EZ36" s="51">
        <f t="shared" si="59"/>
        <v>0</v>
      </c>
      <c r="FA36" s="107">
        <f t="shared" si="59"/>
        <v>34130</v>
      </c>
      <c r="FB36" s="78">
        <f t="shared" si="59"/>
        <v>-11216.545999999973</v>
      </c>
      <c r="FC36" s="78">
        <f aca="true" t="shared" si="60" ref="FC36:FK36">+FC28-FC32</f>
        <v>0</v>
      </c>
      <c r="FD36" s="51">
        <f t="shared" si="60"/>
        <v>-70702.723</v>
      </c>
      <c r="FE36" s="107">
        <f t="shared" si="60"/>
        <v>0</v>
      </c>
      <c r="FF36" s="78">
        <f t="shared" si="60"/>
        <v>0</v>
      </c>
      <c r="FG36" s="78">
        <f t="shared" si="60"/>
        <v>0</v>
      </c>
      <c r="FH36" s="61">
        <f t="shared" si="60"/>
        <v>1829198.2369999997</v>
      </c>
      <c r="FI36" s="107">
        <f t="shared" si="60"/>
        <v>0</v>
      </c>
      <c r="FJ36" s="78">
        <f t="shared" si="60"/>
        <v>0</v>
      </c>
      <c r="FK36" s="78">
        <f t="shared" si="60"/>
        <v>1434987</v>
      </c>
      <c r="FL36" s="51"/>
      <c r="FM36" s="107">
        <f>+FM28-FM32</f>
        <v>0</v>
      </c>
      <c r="FN36" s="78">
        <f>+FN28-FN32</f>
        <v>0</v>
      </c>
      <c r="FO36" s="78">
        <f>+FO28-FO32</f>
        <v>90395</v>
      </c>
    </row>
    <row r="37" spans="1:171" s="16" customFormat="1" ht="13.5" thickBot="1">
      <c r="A37" s="101" t="s">
        <v>41</v>
      </c>
      <c r="B37" s="102">
        <f aca="true" t="shared" si="61" ref="B37:Q37">+B30-B35</f>
        <v>8983216.574310012</v>
      </c>
      <c r="C37" s="102">
        <f t="shared" si="61"/>
        <v>19406379.705000006</v>
      </c>
      <c r="D37" s="165">
        <f t="shared" si="61"/>
        <v>983590.1632999927</v>
      </c>
      <c r="E37" s="165">
        <f t="shared" si="61"/>
        <v>9540950.595310003</v>
      </c>
      <c r="F37" s="102">
        <f t="shared" si="61"/>
        <v>-240340.02600000007</v>
      </c>
      <c r="G37" s="109">
        <f t="shared" si="61"/>
        <v>139975.5129999998</v>
      </c>
      <c r="H37" s="103">
        <f t="shared" si="61"/>
        <v>93725.6259999997</v>
      </c>
      <c r="I37" s="103">
        <f t="shared" si="61"/>
        <v>160518</v>
      </c>
      <c r="J37" s="102">
        <f t="shared" si="61"/>
        <v>0</v>
      </c>
      <c r="K37" s="109">
        <f t="shared" si="61"/>
        <v>95018.21100000013</v>
      </c>
      <c r="L37" s="112">
        <f t="shared" si="61"/>
        <v>151467.59299999988</v>
      </c>
      <c r="M37" s="112">
        <f t="shared" si="61"/>
        <v>0</v>
      </c>
      <c r="N37" s="102">
        <f t="shared" si="61"/>
        <v>0</v>
      </c>
      <c r="O37" s="103">
        <f t="shared" si="61"/>
        <v>-133806.6189999999</v>
      </c>
      <c r="P37" s="112">
        <f t="shared" si="61"/>
        <v>6925.809000000008</v>
      </c>
      <c r="Q37" s="112">
        <f t="shared" si="61"/>
        <v>-24096</v>
      </c>
      <c r="R37" s="102">
        <f aca="true" t="shared" si="62" ref="R37:AB37">+R30-R35</f>
        <v>14363</v>
      </c>
      <c r="S37" s="109">
        <f t="shared" si="62"/>
        <v>9322</v>
      </c>
      <c r="T37" s="103">
        <f t="shared" si="62"/>
        <v>9675</v>
      </c>
      <c r="U37" s="103">
        <f>+U30-U35</f>
        <v>-2074</v>
      </c>
      <c r="V37" s="102">
        <f t="shared" si="62"/>
        <v>0</v>
      </c>
      <c r="W37" s="102">
        <f t="shared" si="62"/>
        <v>0</v>
      </c>
      <c r="X37" s="103">
        <f t="shared" si="62"/>
        <v>109347</v>
      </c>
      <c r="Y37" s="103">
        <f>+Y30-Y35</f>
        <v>139414</v>
      </c>
      <c r="Z37" s="102">
        <f t="shared" si="62"/>
        <v>0</v>
      </c>
      <c r="AA37" s="109">
        <f t="shared" si="62"/>
        <v>0</v>
      </c>
      <c r="AB37" s="103">
        <f t="shared" si="62"/>
        <v>61818</v>
      </c>
      <c r="AC37" s="109">
        <f aca="true" t="shared" si="63" ref="AC37:AR37">+AC30-AC35</f>
        <v>0</v>
      </c>
      <c r="AD37" s="109">
        <f t="shared" si="63"/>
        <v>0</v>
      </c>
      <c r="AE37" s="112">
        <f t="shared" si="63"/>
        <v>0</v>
      </c>
      <c r="AF37" s="103">
        <f t="shared" si="63"/>
        <v>89698</v>
      </c>
      <c r="AG37" s="102">
        <f t="shared" si="63"/>
        <v>18193.51531999989</v>
      </c>
      <c r="AH37" s="109">
        <f t="shared" si="63"/>
        <v>11027.391000000061</v>
      </c>
      <c r="AI37" s="103">
        <f t="shared" si="63"/>
        <v>11809.923000000068</v>
      </c>
      <c r="AJ37" s="103">
        <f t="shared" si="63"/>
        <v>190</v>
      </c>
      <c r="AK37" s="109">
        <f t="shared" si="63"/>
        <v>0</v>
      </c>
      <c r="AL37" s="109">
        <f t="shared" si="63"/>
        <v>0</v>
      </c>
      <c r="AM37" s="112">
        <f t="shared" si="63"/>
        <v>0</v>
      </c>
      <c r="AN37" s="112">
        <f t="shared" si="63"/>
        <v>0</v>
      </c>
      <c r="AO37" s="109">
        <f t="shared" si="63"/>
        <v>0</v>
      </c>
      <c r="AP37" s="109">
        <f t="shared" si="63"/>
        <v>0</v>
      </c>
      <c r="AQ37" s="112">
        <f t="shared" si="63"/>
        <v>1575</v>
      </c>
      <c r="AR37" s="112">
        <f t="shared" si="63"/>
        <v>3258</v>
      </c>
      <c r="AS37" s="102">
        <f>+AS30-AS35</f>
        <v>34865</v>
      </c>
      <c r="AT37" s="103">
        <f>+AT30-AT35</f>
        <v>16693</v>
      </c>
      <c r="AU37" s="186">
        <f>+AU30-AU35</f>
        <v>21580</v>
      </c>
      <c r="AV37" s="186">
        <f>+AV30-AV35</f>
        <v>-485039</v>
      </c>
      <c r="AW37" s="102">
        <f aca="true" t="shared" si="64" ref="AW37:CP37">+AW30-AW35</f>
        <v>0</v>
      </c>
      <c r="AX37" s="109">
        <f t="shared" si="64"/>
        <v>1005</v>
      </c>
      <c r="AY37" s="103">
        <f t="shared" si="64"/>
        <v>4500</v>
      </c>
      <c r="AZ37" s="103">
        <f>+AZ30-AZ35</f>
        <v>58444</v>
      </c>
      <c r="BA37" s="102">
        <f t="shared" si="64"/>
        <v>154</v>
      </c>
      <c r="BB37" s="109">
        <f t="shared" si="64"/>
        <v>16411453</v>
      </c>
      <c r="BC37" s="103">
        <f t="shared" si="64"/>
        <v>-880032</v>
      </c>
      <c r="BD37" s="103">
        <f>+BD30-BD35</f>
        <v>64670</v>
      </c>
      <c r="BE37" s="102">
        <f t="shared" si="64"/>
        <v>0</v>
      </c>
      <c r="BF37" s="109">
        <f t="shared" si="64"/>
        <v>13500</v>
      </c>
      <c r="BG37" s="103">
        <f t="shared" si="64"/>
        <v>18083.89000000013</v>
      </c>
      <c r="BH37" s="103">
        <f>+BH30-BH35</f>
        <v>57501</v>
      </c>
      <c r="BI37" s="102">
        <f t="shared" si="64"/>
        <v>0</v>
      </c>
      <c r="BJ37" s="109">
        <f t="shared" si="64"/>
        <v>4661</v>
      </c>
      <c r="BK37" s="103">
        <f t="shared" si="64"/>
        <v>30240.79999999999</v>
      </c>
      <c r="BL37" s="103">
        <f>+BL30-BL35</f>
        <v>55167</v>
      </c>
      <c r="BM37" s="102">
        <f t="shared" si="64"/>
        <v>9020823</v>
      </c>
      <c r="BN37" s="109">
        <f t="shared" si="64"/>
        <v>2217141</v>
      </c>
      <c r="BO37" s="103">
        <f t="shared" si="64"/>
        <v>505950</v>
      </c>
      <c r="BP37" s="103">
        <f>+BP30-BP35</f>
        <v>548737</v>
      </c>
      <c r="BQ37" s="109">
        <f t="shared" si="64"/>
        <v>0</v>
      </c>
      <c r="BR37" s="109">
        <f t="shared" si="64"/>
        <v>0</v>
      </c>
      <c r="BS37" s="112">
        <f t="shared" si="64"/>
        <v>36067</v>
      </c>
      <c r="BT37" s="112">
        <f>+BT30-BT35</f>
        <v>13575</v>
      </c>
      <c r="BU37" s="102">
        <f t="shared" si="64"/>
        <v>23111.23662000001</v>
      </c>
      <c r="BV37" s="109">
        <f t="shared" si="64"/>
        <v>19307.243000000017</v>
      </c>
      <c r="BW37" s="103">
        <f t="shared" si="64"/>
        <v>22770.05190000002</v>
      </c>
      <c r="BX37" s="103">
        <f>+BX30-BX35</f>
        <v>33471</v>
      </c>
      <c r="BY37" s="109">
        <f t="shared" si="64"/>
        <v>2526.6860000001034</v>
      </c>
      <c r="BZ37" s="109">
        <f t="shared" si="64"/>
        <v>12234.493999999948</v>
      </c>
      <c r="CA37" s="103">
        <f t="shared" si="64"/>
        <v>12829</v>
      </c>
      <c r="CB37" s="103">
        <f>+CB30-CB35</f>
        <v>19686</v>
      </c>
      <c r="CC37" s="109">
        <f t="shared" si="64"/>
        <v>0</v>
      </c>
      <c r="CD37" s="109">
        <f t="shared" si="64"/>
        <v>0</v>
      </c>
      <c r="CE37" s="103">
        <f t="shared" si="64"/>
        <v>10715</v>
      </c>
      <c r="CF37" s="103">
        <f>+CF30-CF35</f>
        <v>0</v>
      </c>
      <c r="CG37" s="102">
        <f t="shared" si="64"/>
        <v>-0.05799999972805381</v>
      </c>
      <c r="CH37" s="109">
        <f t="shared" si="64"/>
        <v>97533.9169999999</v>
      </c>
      <c r="CI37" s="103">
        <f t="shared" si="64"/>
        <v>113640.33699999982</v>
      </c>
      <c r="CJ37" s="103">
        <f>+CJ30-CJ35</f>
        <v>117612</v>
      </c>
      <c r="CK37" s="102">
        <f t="shared" si="64"/>
        <v>0</v>
      </c>
      <c r="CL37" s="109">
        <f t="shared" si="64"/>
        <v>-0.14100000000325963</v>
      </c>
      <c r="CM37" s="112">
        <f t="shared" si="64"/>
        <v>37286.685</v>
      </c>
      <c r="CN37" s="112">
        <f>+CN30-CN35</f>
        <v>18922</v>
      </c>
      <c r="CO37" s="102">
        <f t="shared" si="64"/>
        <v>0</v>
      </c>
      <c r="CP37" s="109">
        <f t="shared" si="64"/>
        <v>0</v>
      </c>
      <c r="CQ37" s="103">
        <f aca="true" t="shared" si="65" ref="CQ37:ED37">+CQ30-CQ35</f>
        <v>0</v>
      </c>
      <c r="CR37" s="109">
        <f t="shared" si="65"/>
        <v>0</v>
      </c>
      <c r="CS37" s="109">
        <f t="shared" si="65"/>
        <v>0</v>
      </c>
      <c r="CT37" s="103">
        <f t="shared" si="65"/>
        <v>0</v>
      </c>
      <c r="CU37" s="103">
        <f>+CU30-CU35</f>
        <v>11893</v>
      </c>
      <c r="CV37" s="102">
        <f t="shared" si="65"/>
        <v>31748</v>
      </c>
      <c r="CW37" s="109">
        <f t="shared" si="65"/>
        <v>13604.214999999967</v>
      </c>
      <c r="CX37" s="103">
        <f t="shared" si="65"/>
        <v>16281.33699999997</v>
      </c>
      <c r="CY37" s="103">
        <f>+CY30-CY35</f>
        <v>26807</v>
      </c>
      <c r="CZ37" s="102">
        <f t="shared" si="65"/>
        <v>0</v>
      </c>
      <c r="DA37" s="109">
        <f t="shared" si="65"/>
        <v>133832</v>
      </c>
      <c r="DB37" s="103">
        <f t="shared" si="65"/>
        <v>158449</v>
      </c>
      <c r="DC37" s="103">
        <f>+DC30-DC35</f>
        <v>161500</v>
      </c>
      <c r="DD37" s="102">
        <f t="shared" si="65"/>
        <v>105637.55012999987</v>
      </c>
      <c r="DE37" s="109">
        <f t="shared" si="65"/>
        <v>81748.35300000012</v>
      </c>
      <c r="DF37" s="103">
        <f t="shared" si="65"/>
        <v>75497.1379999998</v>
      </c>
      <c r="DG37" s="103">
        <f>+DG30-DG35</f>
        <v>66</v>
      </c>
      <c r="DH37" s="109">
        <f t="shared" si="65"/>
        <v>0</v>
      </c>
      <c r="DI37" s="109">
        <f t="shared" si="65"/>
        <v>0</v>
      </c>
      <c r="DJ37" s="103">
        <f t="shared" si="65"/>
        <v>0</v>
      </c>
      <c r="DK37" s="103">
        <f>+DK30-DK35</f>
        <v>0</v>
      </c>
      <c r="DL37" s="102">
        <f t="shared" si="65"/>
        <v>22175.31699999998</v>
      </c>
      <c r="DM37" s="109">
        <f t="shared" si="65"/>
        <v>0</v>
      </c>
      <c r="DN37" s="103">
        <f t="shared" si="65"/>
        <v>0</v>
      </c>
      <c r="DO37" s="103">
        <f>+DO30-DO35</f>
        <v>0</v>
      </c>
      <c r="DP37" s="102">
        <f t="shared" si="65"/>
        <v>0</v>
      </c>
      <c r="DQ37" s="109">
        <f t="shared" si="65"/>
        <v>17890</v>
      </c>
      <c r="DR37" s="103">
        <f t="shared" si="65"/>
        <v>2378</v>
      </c>
      <c r="DS37" s="103">
        <f>+DS30-DS35</f>
        <v>2450</v>
      </c>
      <c r="DT37" s="102">
        <f t="shared" si="65"/>
        <v>0</v>
      </c>
      <c r="DU37" s="109">
        <f t="shared" si="65"/>
        <v>914</v>
      </c>
      <c r="DV37" s="103">
        <f t="shared" si="65"/>
        <v>4388.200000000012</v>
      </c>
      <c r="DW37" s="103">
        <f>+DW30-DW35</f>
        <v>0</v>
      </c>
      <c r="DX37" s="102">
        <f t="shared" si="65"/>
        <v>0</v>
      </c>
      <c r="DY37" s="109">
        <f t="shared" si="65"/>
        <v>29670.692999999912</v>
      </c>
      <c r="DZ37" s="103">
        <f t="shared" si="65"/>
        <v>34315.37239999999</v>
      </c>
      <c r="EA37" s="103">
        <f>+EA30-EA35</f>
        <v>31068</v>
      </c>
      <c r="EB37" s="102">
        <f t="shared" si="65"/>
        <v>0</v>
      </c>
      <c r="EC37" s="109">
        <f t="shared" si="65"/>
        <v>88367.16299999971</v>
      </c>
      <c r="ED37" s="112">
        <f t="shared" si="65"/>
        <v>142057.2250000001</v>
      </c>
      <c r="EE37" s="112">
        <f>+EE30-EE35</f>
        <v>110902</v>
      </c>
      <c r="EF37" s="102">
        <f aca="true" t="shared" si="66" ref="EF37:FJ37">+EF30-EF35</f>
        <v>26664.45399999991</v>
      </c>
      <c r="EG37" s="109">
        <f t="shared" si="66"/>
        <v>43388.14699999988</v>
      </c>
      <c r="EH37" s="103">
        <f t="shared" si="66"/>
        <v>121704.64300000016</v>
      </c>
      <c r="EI37" s="103">
        <f>+EI30-EI35</f>
        <v>268902</v>
      </c>
      <c r="EJ37" s="102">
        <f t="shared" si="66"/>
        <v>15196.014000000025</v>
      </c>
      <c r="EK37" s="109">
        <f t="shared" si="66"/>
        <v>12059.241000000038</v>
      </c>
      <c r="EL37" s="103">
        <f t="shared" si="66"/>
        <v>13091.942999999854</v>
      </c>
      <c r="EM37" s="103">
        <f>+EM30-EM35</f>
        <v>38104</v>
      </c>
      <c r="EN37" s="102">
        <f t="shared" si="66"/>
        <v>-32064.288760000003</v>
      </c>
      <c r="EO37" s="109">
        <f t="shared" si="66"/>
        <v>-14614.406</v>
      </c>
      <c r="EP37" s="103">
        <f t="shared" si="66"/>
        <v>0</v>
      </c>
      <c r="EQ37" s="103">
        <f>+EQ30-EQ35</f>
        <v>0</v>
      </c>
      <c r="ER37" s="109">
        <f aca="true" t="shared" si="67" ref="ER37:FB37">+ER30-ER35</f>
        <v>0</v>
      </c>
      <c r="ES37" s="109">
        <f t="shared" si="67"/>
        <v>0</v>
      </c>
      <c r="ET37" s="103">
        <f t="shared" si="67"/>
        <v>17873</v>
      </c>
      <c r="EU37" s="103">
        <f>+EU30-EU35</f>
        <v>45523</v>
      </c>
      <c r="EV37" s="102">
        <f t="shared" si="67"/>
        <v>18730.896999999997</v>
      </c>
      <c r="EW37" s="109">
        <f t="shared" si="67"/>
        <v>84145.36700000032</v>
      </c>
      <c r="EX37" s="103">
        <f t="shared" si="67"/>
        <v>52693</v>
      </c>
      <c r="EY37" s="103">
        <f>+EY30-EY35</f>
        <v>94959</v>
      </c>
      <c r="EZ37" s="102">
        <f t="shared" si="67"/>
        <v>0</v>
      </c>
      <c r="FA37" s="109">
        <f t="shared" si="67"/>
        <v>17002.92299999995</v>
      </c>
      <c r="FB37" s="132">
        <f t="shared" si="67"/>
        <v>-13533.409999999974</v>
      </c>
      <c r="FC37" s="132">
        <f>+FC30-FC35</f>
        <v>0</v>
      </c>
      <c r="FD37" s="102">
        <f t="shared" si="66"/>
        <v>-43702.723</v>
      </c>
      <c r="FE37" s="109">
        <f t="shared" si="66"/>
        <v>0</v>
      </c>
      <c r="FF37" s="103">
        <f t="shared" si="66"/>
        <v>0</v>
      </c>
      <c r="FG37" s="103">
        <f>+FG30-FG35</f>
        <v>0</v>
      </c>
      <c r="FH37" s="104">
        <f t="shared" si="66"/>
        <v>317393.9949999992</v>
      </c>
      <c r="FI37" s="109">
        <f t="shared" si="66"/>
        <v>0</v>
      </c>
      <c r="FJ37" s="103">
        <f t="shared" si="66"/>
        <v>0</v>
      </c>
      <c r="FK37" s="103">
        <f>+FK30-FK35</f>
        <v>1019585</v>
      </c>
      <c r="FL37" s="102"/>
      <c r="FM37" s="109">
        <f>+FM30-FM35</f>
        <v>0</v>
      </c>
      <c r="FN37" s="103">
        <f>+FN30-FN35</f>
        <v>0</v>
      </c>
      <c r="FO37" s="103">
        <f>+FO30-FO35</f>
        <v>25846</v>
      </c>
    </row>
    <row r="38" spans="1:151" ht="12.75">
      <c r="A38" s="18" t="s">
        <v>132</v>
      </c>
      <c r="CH38" s="81"/>
      <c r="CI38" s="81"/>
      <c r="CJ38" s="81"/>
      <c r="CO38" s="65"/>
      <c r="EO38" s="62"/>
      <c r="EP38" s="62"/>
      <c r="EQ38" s="62"/>
      <c r="ER38" s="62"/>
      <c r="ES38" s="62"/>
      <c r="ET38" s="62"/>
      <c r="EU38" s="62"/>
    </row>
    <row r="45" ht="12.75">
      <c r="DC45" s="1">
        <f>968266+505818</f>
        <v>1474084</v>
      </c>
    </row>
    <row r="46" ht="12.75">
      <c r="DC46" s="1">
        <v>14982</v>
      </c>
    </row>
    <row r="47" ht="12.75">
      <c r="DC47" s="1">
        <f>SUM(DC45:DC46)</f>
        <v>1489066</v>
      </c>
    </row>
  </sheetData>
  <sheetProtection/>
  <mergeCells count="41">
    <mergeCell ref="DP6:DS6"/>
    <mergeCell ref="DT6:DW6"/>
    <mergeCell ref="AS6:AV6"/>
    <mergeCell ref="DH6:DK6"/>
    <mergeCell ref="BU6:BX6"/>
    <mergeCell ref="BY6:CB6"/>
    <mergeCell ref="CC6:CF6"/>
    <mergeCell ref="CG6:CJ6"/>
    <mergeCell ref="CK6:CN6"/>
    <mergeCell ref="BA6:BD6"/>
    <mergeCell ref="BE6:BH6"/>
    <mergeCell ref="BI6:BL6"/>
    <mergeCell ref="BM6:BP6"/>
    <mergeCell ref="BQ6:BT6"/>
    <mergeCell ref="DL6:DO6"/>
    <mergeCell ref="DD6:DG6"/>
    <mergeCell ref="CZ6:DC6"/>
    <mergeCell ref="CV6:CY6"/>
    <mergeCell ref="CO6:CU6"/>
    <mergeCell ref="V6:Y6"/>
    <mergeCell ref="Z6:AF6"/>
    <mergeCell ref="AG6:AJ6"/>
    <mergeCell ref="AK6:AN6"/>
    <mergeCell ref="AO6:AR6"/>
    <mergeCell ref="AW6:AZ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FL6:FO6"/>
    <mergeCell ref="B6:E6"/>
    <mergeCell ref="F6:I6"/>
    <mergeCell ref="J6:M6"/>
    <mergeCell ref="N6:Q6"/>
    <mergeCell ref="R6:U6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O28"/>
  <sheetViews>
    <sheetView zoomScalePageLayoutView="0" workbookViewId="0" topLeftCell="A1">
      <selection activeCell="FO9" sqref="FO9"/>
    </sheetView>
  </sheetViews>
  <sheetFormatPr defaultColWidth="11.421875" defaultRowHeight="12.75"/>
  <cols>
    <col min="1" max="1" width="33.28125" style="1" customWidth="1"/>
    <col min="2" max="28" width="11.421875" style="1" customWidth="1"/>
    <col min="29" max="31" width="0" style="1" hidden="1" customWidth="1"/>
    <col min="32" max="95" width="11.421875" style="1" customWidth="1"/>
    <col min="96" max="98" width="0" style="1" hidden="1" customWidth="1"/>
    <col min="99" max="16384" width="11.421875" style="1" customWidth="1"/>
  </cols>
  <sheetData>
    <row r="1" spans="1:5" ht="12.75">
      <c r="A1" s="18" t="s">
        <v>81</v>
      </c>
      <c r="B1" s="19"/>
      <c r="C1" s="19"/>
      <c r="D1" s="19"/>
      <c r="E1" s="19"/>
    </row>
    <row r="2" spans="1:5" ht="12.75">
      <c r="A2" s="22" t="s">
        <v>142</v>
      </c>
      <c r="B2" s="19"/>
      <c r="C2" s="19"/>
      <c r="D2" s="19"/>
      <c r="E2" s="19"/>
    </row>
    <row r="3" spans="1:49" ht="12.75">
      <c r="A3" s="18" t="s">
        <v>64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1:5" ht="12.75">
      <c r="A4" s="18" t="s">
        <v>141</v>
      </c>
      <c r="B4" s="19"/>
      <c r="C4" s="19"/>
      <c r="D4" s="19"/>
      <c r="E4" s="19"/>
    </row>
    <row r="5" spans="1:171" ht="13.5" thickBot="1">
      <c r="A5" s="18" t="s">
        <v>65</v>
      </c>
      <c r="B5" s="19"/>
      <c r="C5" s="19"/>
      <c r="D5" s="19"/>
      <c r="E5" s="19"/>
      <c r="I5" s="1">
        <v>1</v>
      </c>
      <c r="M5" s="1">
        <v>2</v>
      </c>
      <c r="Q5" s="1">
        <v>3</v>
      </c>
      <c r="U5" s="1">
        <v>4</v>
      </c>
      <c r="Y5" s="1">
        <v>5</v>
      </c>
      <c r="AF5" s="1">
        <v>6</v>
      </c>
      <c r="AJ5" s="1">
        <v>7</v>
      </c>
      <c r="AN5" s="1">
        <v>8</v>
      </c>
      <c r="AR5" s="1">
        <v>9</v>
      </c>
      <c r="AZ5" s="1">
        <v>10</v>
      </c>
      <c r="BD5" s="1">
        <v>11</v>
      </c>
      <c r="BH5" s="1">
        <v>12</v>
      </c>
      <c r="BL5" s="1">
        <v>13</v>
      </c>
      <c r="BP5" s="1">
        <v>14</v>
      </c>
      <c r="BT5" s="1">
        <v>15</v>
      </c>
      <c r="BX5" s="1">
        <v>16</v>
      </c>
      <c r="CB5" s="1">
        <v>17</v>
      </c>
      <c r="CF5" s="1">
        <v>18</v>
      </c>
      <c r="CJ5" s="1">
        <v>19</v>
      </c>
      <c r="CN5" s="1">
        <v>20</v>
      </c>
      <c r="CT5" s="1">
        <v>23</v>
      </c>
      <c r="CU5" s="1">
        <v>21</v>
      </c>
      <c r="CY5" s="1">
        <v>22</v>
      </c>
      <c r="DC5" s="1">
        <v>23</v>
      </c>
      <c r="DG5" s="1">
        <v>24</v>
      </c>
      <c r="DK5" s="1">
        <v>25</v>
      </c>
      <c r="DO5" s="1">
        <v>26</v>
      </c>
      <c r="DS5" s="1">
        <v>27</v>
      </c>
      <c r="DW5" s="1">
        <v>28</v>
      </c>
      <c r="EA5" s="1">
        <v>29</v>
      </c>
      <c r="EE5" s="1">
        <v>30</v>
      </c>
      <c r="EI5" s="1">
        <v>31</v>
      </c>
      <c r="EM5" s="1">
        <v>32</v>
      </c>
      <c r="EQ5" s="1">
        <v>33</v>
      </c>
      <c r="EU5" s="1">
        <v>34</v>
      </c>
      <c r="EY5" s="1">
        <v>35</v>
      </c>
      <c r="FC5" s="1">
        <v>36</v>
      </c>
      <c r="FG5" s="1">
        <v>37</v>
      </c>
      <c r="FK5" s="1">
        <v>38</v>
      </c>
      <c r="FO5" s="1">
        <v>39</v>
      </c>
    </row>
    <row r="6" spans="1:171" ht="27.75" customHeight="1" thickBot="1">
      <c r="A6" s="305" t="s">
        <v>57</v>
      </c>
      <c r="B6" s="298" t="s">
        <v>9</v>
      </c>
      <c r="C6" s="299"/>
      <c r="D6" s="299"/>
      <c r="E6" s="299"/>
      <c r="F6" s="278" t="s">
        <v>91</v>
      </c>
      <c r="G6" s="279"/>
      <c r="H6" s="279"/>
      <c r="I6" s="280"/>
      <c r="J6" s="278" t="s">
        <v>99</v>
      </c>
      <c r="K6" s="279"/>
      <c r="L6" s="279"/>
      <c r="M6" s="280"/>
      <c r="N6" s="278" t="s">
        <v>100</v>
      </c>
      <c r="O6" s="279"/>
      <c r="P6" s="279"/>
      <c r="Q6" s="280"/>
      <c r="R6" s="278" t="s">
        <v>89</v>
      </c>
      <c r="S6" s="279"/>
      <c r="T6" s="279"/>
      <c r="U6" s="280"/>
      <c r="V6" s="278" t="s">
        <v>88</v>
      </c>
      <c r="W6" s="279"/>
      <c r="X6" s="279"/>
      <c r="Y6" s="280"/>
      <c r="Z6" s="278" t="s">
        <v>101</v>
      </c>
      <c r="AA6" s="279"/>
      <c r="AB6" s="279"/>
      <c r="AC6" s="279" t="s">
        <v>109</v>
      </c>
      <c r="AD6" s="303"/>
      <c r="AE6" s="303"/>
      <c r="AF6" s="304"/>
      <c r="AG6" s="278" t="s">
        <v>35</v>
      </c>
      <c r="AH6" s="279"/>
      <c r="AI6" s="279"/>
      <c r="AJ6" s="280"/>
      <c r="AK6" s="278" t="s">
        <v>110</v>
      </c>
      <c r="AL6" s="279"/>
      <c r="AM6" s="279"/>
      <c r="AN6" s="280"/>
      <c r="AO6" s="278" t="s">
        <v>111</v>
      </c>
      <c r="AP6" s="279"/>
      <c r="AQ6" s="279"/>
      <c r="AR6" s="280"/>
      <c r="AS6" s="295" t="s">
        <v>82</v>
      </c>
      <c r="AT6" s="296"/>
      <c r="AU6" s="296"/>
      <c r="AV6" s="297"/>
      <c r="AW6" s="278" t="s">
        <v>113</v>
      </c>
      <c r="AX6" s="279"/>
      <c r="AY6" s="279"/>
      <c r="AZ6" s="280"/>
      <c r="BA6" s="278" t="s">
        <v>112</v>
      </c>
      <c r="BB6" s="279"/>
      <c r="BC6" s="279"/>
      <c r="BD6" s="280"/>
      <c r="BE6" s="278" t="s">
        <v>114</v>
      </c>
      <c r="BF6" s="279"/>
      <c r="BG6" s="279"/>
      <c r="BH6" s="280"/>
      <c r="BI6" s="278" t="s">
        <v>87</v>
      </c>
      <c r="BJ6" s="279"/>
      <c r="BK6" s="279"/>
      <c r="BL6" s="280"/>
      <c r="BM6" s="278" t="s">
        <v>6</v>
      </c>
      <c r="BN6" s="279"/>
      <c r="BO6" s="279"/>
      <c r="BP6" s="280"/>
      <c r="BQ6" s="278" t="s">
        <v>115</v>
      </c>
      <c r="BR6" s="279"/>
      <c r="BS6" s="279"/>
      <c r="BT6" s="280"/>
      <c r="BU6" s="278" t="s">
        <v>103</v>
      </c>
      <c r="BV6" s="279"/>
      <c r="BW6" s="279"/>
      <c r="BX6" s="280"/>
      <c r="BY6" s="278" t="s">
        <v>104</v>
      </c>
      <c r="BZ6" s="279"/>
      <c r="CA6" s="279"/>
      <c r="CB6" s="280"/>
      <c r="CC6" s="278" t="s">
        <v>105</v>
      </c>
      <c r="CD6" s="279"/>
      <c r="CE6" s="279"/>
      <c r="CF6" s="280"/>
      <c r="CG6" s="278" t="s">
        <v>92</v>
      </c>
      <c r="CH6" s="279"/>
      <c r="CI6" s="279"/>
      <c r="CJ6" s="280"/>
      <c r="CK6" s="278" t="s">
        <v>94</v>
      </c>
      <c r="CL6" s="279"/>
      <c r="CM6" s="279"/>
      <c r="CN6" s="280"/>
      <c r="CO6" s="278" t="s">
        <v>106</v>
      </c>
      <c r="CP6" s="279"/>
      <c r="CQ6" s="279"/>
      <c r="CR6" s="279" t="s">
        <v>107</v>
      </c>
      <c r="CS6" s="303"/>
      <c r="CT6" s="303"/>
      <c r="CU6" s="304"/>
      <c r="CV6" s="278" t="s">
        <v>97</v>
      </c>
      <c r="CW6" s="279"/>
      <c r="CX6" s="279"/>
      <c r="CY6" s="280"/>
      <c r="CZ6" s="278" t="s">
        <v>85</v>
      </c>
      <c r="DA6" s="279"/>
      <c r="DB6" s="279"/>
      <c r="DC6" s="280"/>
      <c r="DD6" s="278" t="s">
        <v>34</v>
      </c>
      <c r="DE6" s="279"/>
      <c r="DF6" s="279"/>
      <c r="DG6" s="280"/>
      <c r="DH6" s="278" t="s">
        <v>116</v>
      </c>
      <c r="DI6" s="279"/>
      <c r="DJ6" s="279"/>
      <c r="DK6" s="280"/>
      <c r="DL6" s="278" t="s">
        <v>117</v>
      </c>
      <c r="DM6" s="279"/>
      <c r="DN6" s="279"/>
      <c r="DO6" s="280"/>
      <c r="DP6" s="278" t="s">
        <v>83</v>
      </c>
      <c r="DQ6" s="279"/>
      <c r="DR6" s="279"/>
      <c r="DS6" s="280"/>
      <c r="DT6" s="278" t="s">
        <v>86</v>
      </c>
      <c r="DU6" s="279"/>
      <c r="DV6" s="279"/>
      <c r="DW6" s="280"/>
      <c r="DX6" s="278" t="s">
        <v>96</v>
      </c>
      <c r="DY6" s="279"/>
      <c r="DZ6" s="279"/>
      <c r="EA6" s="280"/>
      <c r="EB6" s="278" t="s">
        <v>0</v>
      </c>
      <c r="EC6" s="279"/>
      <c r="ED6" s="279"/>
      <c r="EE6" s="280"/>
      <c r="EF6" s="278" t="s">
        <v>5</v>
      </c>
      <c r="EG6" s="279"/>
      <c r="EH6" s="279"/>
      <c r="EI6" s="280"/>
      <c r="EJ6" s="278" t="s">
        <v>95</v>
      </c>
      <c r="EK6" s="279"/>
      <c r="EL6" s="279"/>
      <c r="EM6" s="280"/>
      <c r="EN6" s="278" t="s">
        <v>93</v>
      </c>
      <c r="EO6" s="279"/>
      <c r="EP6" s="279"/>
      <c r="EQ6" s="280"/>
      <c r="ER6" s="278" t="s">
        <v>108</v>
      </c>
      <c r="ES6" s="279"/>
      <c r="ET6" s="279"/>
      <c r="EU6" s="280"/>
      <c r="EV6" s="278" t="s">
        <v>84</v>
      </c>
      <c r="EW6" s="279"/>
      <c r="EX6" s="279"/>
      <c r="EY6" s="280"/>
      <c r="EZ6" s="278" t="s">
        <v>4</v>
      </c>
      <c r="FA6" s="279"/>
      <c r="FB6" s="279"/>
      <c r="FC6" s="280"/>
      <c r="FD6" s="278" t="s">
        <v>118</v>
      </c>
      <c r="FE6" s="279"/>
      <c r="FF6" s="279"/>
      <c r="FG6" s="280"/>
      <c r="FH6" s="278" t="s">
        <v>119</v>
      </c>
      <c r="FI6" s="279"/>
      <c r="FJ6" s="279"/>
      <c r="FK6" s="280"/>
      <c r="FL6" s="278" t="s">
        <v>82</v>
      </c>
      <c r="FM6" s="279"/>
      <c r="FN6" s="279"/>
      <c r="FO6" s="280"/>
    </row>
    <row r="7" spans="1:171" ht="13.5" thickBot="1">
      <c r="A7" s="291"/>
      <c r="B7" s="249">
        <v>2008</v>
      </c>
      <c r="C7" s="249">
        <v>2009</v>
      </c>
      <c r="D7" s="249">
        <v>2010</v>
      </c>
      <c r="E7" s="249">
        <v>2011</v>
      </c>
      <c r="F7" s="250">
        <v>2008</v>
      </c>
      <c r="G7" s="250">
        <v>2009</v>
      </c>
      <c r="H7" s="250">
        <v>2010</v>
      </c>
      <c r="I7" s="250">
        <v>2011</v>
      </c>
      <c r="J7" s="250">
        <v>2008</v>
      </c>
      <c r="K7" s="250">
        <v>2009</v>
      </c>
      <c r="L7" s="250">
        <v>2010</v>
      </c>
      <c r="M7" s="250">
        <v>2011</v>
      </c>
      <c r="N7" s="250">
        <v>2008</v>
      </c>
      <c r="O7" s="250">
        <v>2009</v>
      </c>
      <c r="P7" s="250">
        <v>2010</v>
      </c>
      <c r="Q7" s="250">
        <v>2011</v>
      </c>
      <c r="R7" s="250">
        <v>2008</v>
      </c>
      <c r="S7" s="250">
        <v>2009</v>
      </c>
      <c r="T7" s="250">
        <v>2010</v>
      </c>
      <c r="U7" s="250">
        <v>2011</v>
      </c>
      <c r="V7" s="250">
        <v>2008</v>
      </c>
      <c r="W7" s="250">
        <v>2009</v>
      </c>
      <c r="X7" s="250">
        <v>2010</v>
      </c>
      <c r="Y7" s="250">
        <v>2011</v>
      </c>
      <c r="Z7" s="250">
        <v>2008</v>
      </c>
      <c r="AA7" s="250">
        <v>2009</v>
      </c>
      <c r="AB7" s="250">
        <v>2010</v>
      </c>
      <c r="AC7" s="250">
        <v>2008</v>
      </c>
      <c r="AD7" s="250">
        <v>2009</v>
      </c>
      <c r="AE7" s="250">
        <v>2010</v>
      </c>
      <c r="AF7" s="250">
        <v>2011</v>
      </c>
      <c r="AG7" s="250">
        <v>2008</v>
      </c>
      <c r="AH7" s="250">
        <v>2009</v>
      </c>
      <c r="AI7" s="250">
        <v>2010</v>
      </c>
      <c r="AJ7" s="250">
        <v>2011</v>
      </c>
      <c r="AK7" s="250">
        <v>2008</v>
      </c>
      <c r="AL7" s="250">
        <v>2009</v>
      </c>
      <c r="AM7" s="250">
        <v>2010</v>
      </c>
      <c r="AN7" s="250">
        <v>2011</v>
      </c>
      <c r="AO7" s="250">
        <v>2008</v>
      </c>
      <c r="AP7" s="250">
        <v>2009</v>
      </c>
      <c r="AQ7" s="250">
        <v>2010</v>
      </c>
      <c r="AR7" s="250">
        <v>2011</v>
      </c>
      <c r="AS7" s="250">
        <v>2008</v>
      </c>
      <c r="AT7" s="250">
        <v>2009</v>
      </c>
      <c r="AU7" s="250">
        <v>2010</v>
      </c>
      <c r="AV7" s="250">
        <v>2011</v>
      </c>
      <c r="AW7" s="250">
        <v>2008</v>
      </c>
      <c r="AX7" s="250">
        <v>2009</v>
      </c>
      <c r="AY7" s="250">
        <v>2010</v>
      </c>
      <c r="AZ7" s="250">
        <v>2011</v>
      </c>
      <c r="BA7" s="250">
        <v>2008</v>
      </c>
      <c r="BB7" s="250">
        <v>2009</v>
      </c>
      <c r="BC7" s="250">
        <v>2010</v>
      </c>
      <c r="BD7" s="250">
        <v>2011</v>
      </c>
      <c r="BE7" s="250">
        <v>2008</v>
      </c>
      <c r="BF7" s="250">
        <v>2009</v>
      </c>
      <c r="BG7" s="250">
        <v>2010</v>
      </c>
      <c r="BH7" s="250">
        <v>2011</v>
      </c>
      <c r="BI7" s="250">
        <v>2008</v>
      </c>
      <c r="BJ7" s="250">
        <v>2009</v>
      </c>
      <c r="BK7" s="250">
        <v>2010</v>
      </c>
      <c r="BL7" s="250">
        <v>2011</v>
      </c>
      <c r="BM7" s="250">
        <v>2008</v>
      </c>
      <c r="BN7" s="250">
        <v>2009</v>
      </c>
      <c r="BO7" s="250">
        <v>2010</v>
      </c>
      <c r="BP7" s="250">
        <v>2011</v>
      </c>
      <c r="BQ7" s="250">
        <v>2008</v>
      </c>
      <c r="BR7" s="250">
        <v>2009</v>
      </c>
      <c r="BS7" s="250">
        <v>2010</v>
      </c>
      <c r="BT7" s="250">
        <v>2011</v>
      </c>
      <c r="BU7" s="250">
        <v>2008</v>
      </c>
      <c r="BV7" s="250">
        <v>2009</v>
      </c>
      <c r="BW7" s="250">
        <v>2010</v>
      </c>
      <c r="BX7" s="250">
        <v>2011</v>
      </c>
      <c r="BY7" s="250">
        <v>2008</v>
      </c>
      <c r="BZ7" s="250">
        <v>2009</v>
      </c>
      <c r="CA7" s="250">
        <v>2010</v>
      </c>
      <c r="CB7" s="250">
        <v>2011</v>
      </c>
      <c r="CC7" s="250">
        <v>2008</v>
      </c>
      <c r="CD7" s="250">
        <v>2009</v>
      </c>
      <c r="CE7" s="250">
        <v>2010</v>
      </c>
      <c r="CF7" s="250">
        <v>2011</v>
      </c>
      <c r="CG7" s="250">
        <v>2008</v>
      </c>
      <c r="CH7" s="250">
        <v>2009</v>
      </c>
      <c r="CI7" s="250">
        <v>2010</v>
      </c>
      <c r="CJ7" s="250">
        <v>2011</v>
      </c>
      <c r="CK7" s="250">
        <v>2008</v>
      </c>
      <c r="CL7" s="250">
        <v>2009</v>
      </c>
      <c r="CM7" s="250">
        <v>2010</v>
      </c>
      <c r="CN7" s="250">
        <v>2011</v>
      </c>
      <c r="CO7" s="250">
        <v>2008</v>
      </c>
      <c r="CP7" s="250">
        <v>2009</v>
      </c>
      <c r="CQ7" s="250">
        <v>2010</v>
      </c>
      <c r="CR7" s="250">
        <v>2008</v>
      </c>
      <c r="CS7" s="250">
        <v>2009</v>
      </c>
      <c r="CT7" s="250">
        <v>2010</v>
      </c>
      <c r="CU7" s="250">
        <v>2011</v>
      </c>
      <c r="CV7" s="250">
        <v>2008</v>
      </c>
      <c r="CW7" s="250">
        <v>2009</v>
      </c>
      <c r="CX7" s="250">
        <v>2010</v>
      </c>
      <c r="CY7" s="250">
        <v>2011</v>
      </c>
      <c r="CZ7" s="250">
        <v>2008</v>
      </c>
      <c r="DA7" s="250">
        <v>2009</v>
      </c>
      <c r="DB7" s="250">
        <v>2010</v>
      </c>
      <c r="DC7" s="250">
        <v>2011</v>
      </c>
      <c r="DD7" s="250">
        <v>2008</v>
      </c>
      <c r="DE7" s="250">
        <v>2009</v>
      </c>
      <c r="DF7" s="250">
        <v>2010</v>
      </c>
      <c r="DG7" s="250">
        <v>2011</v>
      </c>
      <c r="DH7" s="250">
        <v>2008</v>
      </c>
      <c r="DI7" s="250">
        <v>2009</v>
      </c>
      <c r="DJ7" s="250">
        <v>2010</v>
      </c>
      <c r="DK7" s="250">
        <v>2011</v>
      </c>
      <c r="DL7" s="250">
        <v>2008</v>
      </c>
      <c r="DM7" s="250">
        <v>2009</v>
      </c>
      <c r="DN7" s="250">
        <v>2010</v>
      </c>
      <c r="DO7" s="250">
        <v>2011</v>
      </c>
      <c r="DP7" s="250">
        <v>2008</v>
      </c>
      <c r="DQ7" s="250">
        <v>2009</v>
      </c>
      <c r="DR7" s="250">
        <v>2010</v>
      </c>
      <c r="DS7" s="250">
        <v>2011</v>
      </c>
      <c r="DT7" s="250">
        <v>2008</v>
      </c>
      <c r="DU7" s="250">
        <v>2009</v>
      </c>
      <c r="DV7" s="250">
        <v>2010</v>
      </c>
      <c r="DW7" s="250">
        <v>2011</v>
      </c>
      <c r="DX7" s="250">
        <v>2008</v>
      </c>
      <c r="DY7" s="250">
        <v>2009</v>
      </c>
      <c r="DZ7" s="250">
        <v>2010</v>
      </c>
      <c r="EA7" s="250">
        <v>2011</v>
      </c>
      <c r="EB7" s="250">
        <v>2008</v>
      </c>
      <c r="EC7" s="250">
        <v>2009</v>
      </c>
      <c r="ED7" s="250">
        <v>2010</v>
      </c>
      <c r="EE7" s="250">
        <v>2011</v>
      </c>
      <c r="EF7" s="250">
        <v>2008</v>
      </c>
      <c r="EG7" s="250">
        <v>2009</v>
      </c>
      <c r="EH7" s="250">
        <v>2010</v>
      </c>
      <c r="EI7" s="250">
        <v>2011</v>
      </c>
      <c r="EJ7" s="250">
        <v>2008</v>
      </c>
      <c r="EK7" s="250">
        <v>2009</v>
      </c>
      <c r="EL7" s="250">
        <v>2010</v>
      </c>
      <c r="EM7" s="250">
        <v>2011</v>
      </c>
      <c r="EN7" s="250">
        <v>2008</v>
      </c>
      <c r="EO7" s="250">
        <v>2009</v>
      </c>
      <c r="EP7" s="250">
        <v>2010</v>
      </c>
      <c r="EQ7" s="250">
        <v>2011</v>
      </c>
      <c r="ER7" s="250">
        <v>2008</v>
      </c>
      <c r="ES7" s="250">
        <v>2009</v>
      </c>
      <c r="ET7" s="250">
        <v>2010</v>
      </c>
      <c r="EU7" s="250">
        <v>2011</v>
      </c>
      <c r="EV7" s="250">
        <v>2008</v>
      </c>
      <c r="EW7" s="250">
        <v>2009</v>
      </c>
      <c r="EX7" s="250">
        <v>2010</v>
      </c>
      <c r="EY7" s="250">
        <v>2011</v>
      </c>
      <c r="EZ7" s="250">
        <v>2008</v>
      </c>
      <c r="FA7" s="250">
        <v>2009</v>
      </c>
      <c r="FB7" s="250">
        <v>2010</v>
      </c>
      <c r="FC7" s="250">
        <v>2011</v>
      </c>
      <c r="FD7" s="250">
        <v>2008</v>
      </c>
      <c r="FE7" s="250">
        <v>2009</v>
      </c>
      <c r="FF7" s="253">
        <v>2010</v>
      </c>
      <c r="FG7" s="250">
        <v>2011</v>
      </c>
      <c r="FH7" s="254">
        <v>2008</v>
      </c>
      <c r="FI7" s="250">
        <v>2009</v>
      </c>
      <c r="FJ7" s="250">
        <v>2010</v>
      </c>
      <c r="FK7" s="250">
        <v>2011</v>
      </c>
      <c r="FL7" s="250">
        <v>2008</v>
      </c>
      <c r="FM7" s="250">
        <v>2009</v>
      </c>
      <c r="FN7" s="250">
        <v>2010</v>
      </c>
      <c r="FO7" s="250">
        <v>2011</v>
      </c>
    </row>
    <row r="8" spans="1:49" ht="12.75">
      <c r="A8" s="45" t="s">
        <v>42</v>
      </c>
      <c r="B8" s="46"/>
      <c r="C8" s="46"/>
      <c r="D8" s="46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58"/>
      <c r="AQ8" s="58"/>
      <c r="AR8" s="58"/>
      <c r="AS8" s="47"/>
      <c r="AT8" s="58"/>
      <c r="AU8" s="58"/>
      <c r="AV8" s="58"/>
      <c r="AW8" s="48"/>
    </row>
    <row r="9" spans="1:171" ht="12.75">
      <c r="A9" s="40" t="s">
        <v>61</v>
      </c>
      <c r="B9" s="36">
        <f>'C6 AVIACION AGRICOLA'!B10/'C6 AVIACION AGRICOLA'!B15</f>
        <v>2.3076171148788487</v>
      </c>
      <c r="C9" s="36">
        <f>'C6 AVIACION AGRICOLA'!C10/'C6 AVIACION AGRICOLA'!C15</f>
        <v>1.2517687332643157</v>
      </c>
      <c r="D9" s="141">
        <f>'C6 AVIACION AGRICOLA'!D10/'C6 AVIACION AGRICOLA'!D15</f>
        <v>1.185241234511473</v>
      </c>
      <c r="E9" s="141">
        <f>'C6 AVIACION AGRICOLA'!E10/'C6 AVIACION AGRICOLA'!E15</f>
        <v>2.088417005007215</v>
      </c>
      <c r="F9" s="36">
        <f>'C6 AVIACION AGRICOLA'!F10/'C6 AVIACION AGRICOLA'!F15</f>
        <v>1.4091630440672247</v>
      </c>
      <c r="G9" s="36">
        <f>'C6 AVIACION AGRICOLA'!G10/'C6 AVIACION AGRICOLA'!G15</f>
        <v>1.9597549126796143</v>
      </c>
      <c r="H9" s="141">
        <f>'C6 AVIACION AGRICOLA'!H10/'C6 AVIACION AGRICOLA'!H15</f>
        <v>1.826919641111134</v>
      </c>
      <c r="I9" s="141">
        <f>'C6 AVIACION AGRICOLA'!I10/'C6 AVIACION AGRICOLA'!I15</f>
        <v>1.4540805221890272</v>
      </c>
      <c r="J9" s="36" t="e">
        <f>'C6 AVIACION AGRICOLA'!J10/'C6 AVIACION AGRICOLA'!J15</f>
        <v>#DIV/0!</v>
      </c>
      <c r="K9" s="36">
        <f>'C6 AVIACION AGRICOLA'!K10/'C6 AVIACION AGRICOLA'!K15</f>
        <v>0.8942426273559656</v>
      </c>
      <c r="L9" s="141">
        <f>'C6 AVIACION AGRICOLA'!L10/'C6 AVIACION AGRICOLA'!L15</f>
        <v>0.8200928199750841</v>
      </c>
      <c r="M9" s="141" t="e">
        <f>'C6 AVIACION AGRICOLA'!M10/'C6 AVIACION AGRICOLA'!M15</f>
        <v>#DIV/0!</v>
      </c>
      <c r="N9" s="36" t="e">
        <f>'C6 AVIACION AGRICOLA'!N10/'C6 AVIACION AGRICOLA'!N15</f>
        <v>#DIV/0!</v>
      </c>
      <c r="O9" s="36">
        <f>'C6 AVIACION AGRICOLA'!O10/'C6 AVIACION AGRICOLA'!O15</f>
        <v>0.7487812391930855</v>
      </c>
      <c r="P9" s="141">
        <f>'C6 AVIACION AGRICOLA'!P10/'C6 AVIACION AGRICOLA'!P15</f>
        <v>0.8921279043680567</v>
      </c>
      <c r="Q9" s="141">
        <f>'C6 AVIACION AGRICOLA'!Q10/'C6 AVIACION AGRICOLA'!Q15</f>
        <v>0.6443892045454546</v>
      </c>
      <c r="R9" s="36">
        <f>'C6 AVIACION AGRICOLA'!R10/'C6 AVIACION AGRICOLA'!R15</f>
        <v>2.5825477736657123</v>
      </c>
      <c r="S9" s="36">
        <f>'C6 AVIACION AGRICOLA'!S10/'C6 AVIACION AGRICOLA'!S15</f>
        <v>3.511025029797378</v>
      </c>
      <c r="T9" s="141">
        <f>'C6 AVIACION AGRICOLA'!T10/'C6 AVIACION AGRICOLA'!T15</f>
        <v>1.4713237450599486</v>
      </c>
      <c r="U9" s="141">
        <f>'C6 AVIACION AGRICOLA'!U10/'C6 AVIACION AGRICOLA'!U15</f>
        <v>1.2379036613385215</v>
      </c>
      <c r="V9" s="36" t="e">
        <f>'C6 AVIACION AGRICOLA'!V10/'C6 AVIACION AGRICOLA'!V15</f>
        <v>#DIV/0!</v>
      </c>
      <c r="W9" s="36">
        <f>'C6 AVIACION AGRICOLA'!W10/'C6 AVIACION AGRICOLA'!W15</f>
        <v>1.2572501480042206</v>
      </c>
      <c r="X9" s="141">
        <f>'C6 AVIACION AGRICOLA'!X10/'C6 AVIACION AGRICOLA'!X15</f>
        <v>1.3812178389894478</v>
      </c>
      <c r="Y9" s="141">
        <f>'C6 AVIACION AGRICOLA'!Y10/'C6 AVIACION AGRICOLA'!Y15</f>
        <v>1.215567960023735</v>
      </c>
      <c r="Z9" s="36">
        <f>'C6 AVIACION AGRICOLA'!Z10/'C6 AVIACION AGRICOLA'!Z15</f>
        <v>0.1191844284150719</v>
      </c>
      <c r="AA9" s="36" t="e">
        <f>'C6 AVIACION AGRICOLA'!AA10/'C6 AVIACION AGRICOLA'!AA15</f>
        <v>#DIV/0!</v>
      </c>
      <c r="AB9" s="141">
        <f>'C6 AVIACION AGRICOLA'!AB10/'C6 AVIACION AGRICOLA'!AB15</f>
        <v>0.6491152239403972</v>
      </c>
      <c r="AC9" s="36" t="e">
        <f>'C6 AVIACION AGRICOLA'!AC10/'C6 AVIACION AGRICOLA'!AC15</f>
        <v>#DIV/0!</v>
      </c>
      <c r="AD9" s="36" t="e">
        <f>'C6 AVIACION AGRICOLA'!AD10/'C6 AVIACION AGRICOLA'!AD15</f>
        <v>#DIV/0!</v>
      </c>
      <c r="AE9" s="141" t="e">
        <f>'C6 AVIACION AGRICOLA'!AE10/'C6 AVIACION AGRICOLA'!AE15</f>
        <v>#DIV/0!</v>
      </c>
      <c r="AF9" s="141">
        <f>'C6 AVIACION AGRICOLA'!AF10/'C6 AVIACION AGRICOLA'!AF15</f>
        <v>1.5427026644575863</v>
      </c>
      <c r="AG9" s="36" t="e">
        <f>'C6 AVIACION AGRICOLA'!AG10/'C6 AVIACION AGRICOLA'!AG15</f>
        <v>#DIV/0!</v>
      </c>
      <c r="AH9" s="36">
        <f>'C6 AVIACION AGRICOLA'!AH10/'C6 AVIACION AGRICOLA'!AH15</f>
        <v>1.5894714735815074</v>
      </c>
      <c r="AI9" s="141">
        <f>'C6 AVIACION AGRICOLA'!AI10/'C6 AVIACION AGRICOLA'!AI15</f>
        <v>1.7456705345677663</v>
      </c>
      <c r="AJ9" s="141">
        <f>'C6 AVIACION AGRICOLA'!AJ10/'C6 AVIACION AGRICOLA'!AJ15</f>
        <v>2.9755639885456198</v>
      </c>
      <c r="AK9" s="36" t="e">
        <f>'C6 AVIACION AGRICOLA'!AK10/'C6 AVIACION AGRICOLA'!AK15</f>
        <v>#DIV/0!</v>
      </c>
      <c r="AL9" s="36" t="e">
        <f>'C6 AVIACION AGRICOLA'!AL10/'C6 AVIACION AGRICOLA'!AL15</f>
        <v>#DIV/0!</v>
      </c>
      <c r="AM9" s="141" t="e">
        <f>'C6 AVIACION AGRICOLA'!AM10/'C6 AVIACION AGRICOLA'!AM15</f>
        <v>#DIV/0!</v>
      </c>
      <c r="AN9" s="141" t="e">
        <f>'C6 AVIACION AGRICOLA'!AN10/'C6 AVIACION AGRICOLA'!AN15</f>
        <v>#DIV/0!</v>
      </c>
      <c r="AO9" s="36" t="e">
        <f>'C6 AVIACION AGRICOLA'!AO10/'C6 AVIACION AGRICOLA'!AO15</f>
        <v>#DIV/0!</v>
      </c>
      <c r="AP9" s="36" t="e">
        <f>'C6 AVIACION AGRICOLA'!AP10/'C6 AVIACION AGRICOLA'!AP15</f>
        <v>#DIV/0!</v>
      </c>
      <c r="AQ9" s="141">
        <f>'C6 AVIACION AGRICOLA'!AQ10/'C6 AVIACION AGRICOLA'!AQ15</f>
        <v>0.9262104916436336</v>
      </c>
      <c r="AR9" s="141">
        <f>'C6 AVIACION AGRICOLA'!AR10/'C6 AVIACION AGRICOLA'!AR15</f>
        <v>1.0147892816877901</v>
      </c>
      <c r="AS9" s="36">
        <f>'C6 AVIACION AGRICOLA'!AS10/'C6 AVIACION AGRICOLA'!AS15</f>
        <v>2.5226347898402137</v>
      </c>
      <c r="AT9" s="36">
        <f>'C6 AVIACION AGRICOLA'!AT10/'C6 AVIACION AGRICOLA'!AT15</f>
        <v>2.9994143211782793</v>
      </c>
      <c r="AU9" s="141">
        <f>'C6 AVIACION AGRICOLA'!AU10/'C6 AVIACION AGRICOLA'!AU15</f>
        <v>0.02447702117487478</v>
      </c>
      <c r="AV9" s="141">
        <f>'C6 AVIACION AGRICOLA'!AV10/'C6 AVIACION AGRICOLA'!AV15</f>
        <v>0.5076100462607491</v>
      </c>
      <c r="AW9" s="36" t="e">
        <f>'C6 AVIACION AGRICOLA'!AW10/'C6 AVIACION AGRICOLA'!AW15</f>
        <v>#DIV/0!</v>
      </c>
      <c r="AX9" s="36">
        <f>'C6 AVIACION AGRICOLA'!AX10/'C6 AVIACION AGRICOLA'!AX15</f>
        <v>1.331846153846154</v>
      </c>
      <c r="AY9" s="141">
        <f>'C6 AVIACION AGRICOLA'!AY10/'C6 AVIACION AGRICOLA'!AY15</f>
        <v>1.0323651452282159</v>
      </c>
      <c r="AZ9" s="141">
        <f>'C6 AVIACION AGRICOLA'!AZ10/'C6 AVIACION AGRICOLA'!AZ15</f>
        <v>1.2191401304898237</v>
      </c>
      <c r="BA9" s="36">
        <f>'C6 AVIACION AGRICOLA'!BA10/'C6 AVIACION AGRICOLA'!BA15</f>
        <v>11.84020432948047</v>
      </c>
      <c r="BB9" s="36">
        <f>'C6 AVIACION AGRICOLA'!BB10/'C6 AVIACION AGRICOLA'!BB15</f>
        <v>1.1325967871453928</v>
      </c>
      <c r="BC9" s="141">
        <f>'C6 AVIACION AGRICOLA'!BC10/'C6 AVIACION AGRICOLA'!BC15</f>
        <v>1.216581128591386</v>
      </c>
      <c r="BD9" s="141">
        <f>'C6 AVIACION AGRICOLA'!BD10/'C6 AVIACION AGRICOLA'!BD15</f>
        <v>1.407065662652182</v>
      </c>
      <c r="BE9" s="36" t="e">
        <f>'C6 AVIACION AGRICOLA'!BE10/'C6 AVIACION AGRICOLA'!BE15</f>
        <v>#DIV/0!</v>
      </c>
      <c r="BF9" s="36">
        <f>'C6 AVIACION AGRICOLA'!BF10/'C6 AVIACION AGRICOLA'!BF15</f>
        <v>1.5607386955592115</v>
      </c>
      <c r="BG9" s="141">
        <f>'C6 AVIACION AGRICOLA'!BG10/'C6 AVIACION AGRICOLA'!BG15</f>
        <v>1.1267952257669196</v>
      </c>
      <c r="BH9" s="141">
        <f>'C6 AVIACION AGRICOLA'!BH10/'C6 AVIACION AGRICOLA'!BH15</f>
        <v>1.3047833401187576</v>
      </c>
      <c r="BI9" s="36" t="e">
        <f>'C6 AVIACION AGRICOLA'!BI10/'C6 AVIACION AGRICOLA'!BI15</f>
        <v>#DIV/0!</v>
      </c>
      <c r="BJ9" s="36" t="e">
        <f>'C6 AVIACION AGRICOLA'!BJ10/'C6 AVIACION AGRICOLA'!BJ15</f>
        <v>#DIV/0!</v>
      </c>
      <c r="BK9" s="141">
        <f>'C6 AVIACION AGRICOLA'!BK10/'C6 AVIACION AGRICOLA'!BK15</f>
        <v>7.6453040494883595</v>
      </c>
      <c r="BL9" s="141">
        <f>'C6 AVIACION AGRICOLA'!BL10/'C6 AVIACION AGRICOLA'!BL15</f>
        <v>3.869645920634474</v>
      </c>
      <c r="BM9" s="36">
        <f>'C6 AVIACION AGRICOLA'!BM10/'C6 AVIACION AGRICOLA'!BM15</f>
        <v>0.0007804250823224328</v>
      </c>
      <c r="BN9" s="36">
        <f>'C6 AVIACION AGRICOLA'!BN10/'C6 AVIACION AGRICOLA'!BN15</f>
        <v>0.9128224270821711</v>
      </c>
      <c r="BO9" s="141">
        <f>'C6 AVIACION AGRICOLA'!BO10/'C6 AVIACION AGRICOLA'!BO15</f>
        <v>0.7273461416547801</v>
      </c>
      <c r="BP9" s="141">
        <f>'C6 AVIACION AGRICOLA'!BP10/'C6 AVIACION AGRICOLA'!BP15</f>
        <v>0.8848234878842212</v>
      </c>
      <c r="BQ9" s="36" t="e">
        <f>'C6 AVIACION AGRICOLA'!BQ10/'C6 AVIACION AGRICOLA'!BQ15</f>
        <v>#DIV/0!</v>
      </c>
      <c r="BR9" s="36" t="e">
        <f>'C6 AVIACION AGRICOLA'!BR10/'C6 AVIACION AGRICOLA'!BR15</f>
        <v>#DIV/0!</v>
      </c>
      <c r="BS9" s="141">
        <f>'C6 AVIACION AGRICOLA'!BS10/'C6 AVIACION AGRICOLA'!BS15</f>
        <v>0.2172308693344292</v>
      </c>
      <c r="BT9" s="141">
        <f>'C6 AVIACION AGRICOLA'!BT10/'C6 AVIACION AGRICOLA'!BT15</f>
        <v>0.49152919145037755</v>
      </c>
      <c r="BU9" s="36">
        <f>'C6 AVIACION AGRICOLA'!BU10/'C6 AVIACION AGRICOLA'!BU15</f>
        <v>7.4602321024338805</v>
      </c>
      <c r="BV9" s="36">
        <f>'C6 AVIACION AGRICOLA'!BV10/'C6 AVIACION AGRICOLA'!BV15</f>
        <v>9.300351053690393</v>
      </c>
      <c r="BW9" s="141">
        <f>'C6 AVIACION AGRICOLA'!BW10/'C6 AVIACION AGRICOLA'!BW15</f>
        <v>14.102170184204638</v>
      </c>
      <c r="BX9" s="141">
        <f>'C6 AVIACION AGRICOLA'!BX10/'C6 AVIACION AGRICOLA'!BX15</f>
        <v>10.683974148318546</v>
      </c>
      <c r="BY9" s="36">
        <f>'C6 AVIACION AGRICOLA'!BY10/'C6 AVIACION AGRICOLA'!BY15</f>
        <v>1.4510675443595296</v>
      </c>
      <c r="BZ9" s="36">
        <f>'C6 AVIACION AGRICOLA'!BZ10/'C6 AVIACION AGRICOLA'!BZ15</f>
        <v>1.5901354129490182</v>
      </c>
      <c r="CA9" s="141">
        <f>'C6 AVIACION AGRICOLA'!CA10/'C6 AVIACION AGRICOLA'!CA15</f>
        <v>1.957994894407055</v>
      </c>
      <c r="CB9" s="141">
        <f>'C6 AVIACION AGRICOLA'!CB10/'C6 AVIACION AGRICOLA'!CB15</f>
        <v>1.7836875811463333</v>
      </c>
      <c r="CC9" s="36" t="e">
        <f>'C6 AVIACION AGRICOLA'!CC10/'C6 AVIACION AGRICOLA'!CC15</f>
        <v>#DIV/0!</v>
      </c>
      <c r="CD9" s="36" t="e">
        <f>'C6 AVIACION AGRICOLA'!CD10/'C6 AVIACION AGRICOLA'!CD15</f>
        <v>#DIV/0!</v>
      </c>
      <c r="CE9" s="141">
        <f>'C6 AVIACION AGRICOLA'!CE10/'C6 AVIACION AGRICOLA'!CE15</f>
        <v>4.338232915850568</v>
      </c>
      <c r="CF9" s="141" t="e">
        <f>'C6 AVIACION AGRICOLA'!CF10/'C6 AVIACION AGRICOLA'!CF15</f>
        <v>#DIV/0!</v>
      </c>
      <c r="CG9" s="36" t="e">
        <f>'C6 AVIACION AGRICOLA'!CG10/'C6 AVIACION AGRICOLA'!CG15</f>
        <v>#DIV/0!</v>
      </c>
      <c r="CH9" s="36">
        <f>'C6 AVIACION AGRICOLA'!CH10/'C6 AVIACION AGRICOLA'!CH15</f>
        <v>2.810415642086501</v>
      </c>
      <c r="CI9" s="141">
        <f>'C6 AVIACION AGRICOLA'!CI10/'C6 AVIACION AGRICOLA'!CI15</f>
        <v>2.669100547419304</v>
      </c>
      <c r="CJ9" s="141">
        <f>'C6 AVIACION AGRICOLA'!CJ10/'C6 AVIACION AGRICOLA'!CJ15</f>
        <v>3.3643535674372096</v>
      </c>
      <c r="CK9" s="36" t="e">
        <f>'C6 AVIACION AGRICOLA'!CK10/'C6 AVIACION AGRICOLA'!CK15</f>
        <v>#DIV/0!</v>
      </c>
      <c r="CL9" s="36">
        <f>'C6 AVIACION AGRICOLA'!CL10/'C6 AVIACION AGRICOLA'!CL15</f>
        <v>1.0271262157639194</v>
      </c>
      <c r="CM9" s="141">
        <f>'C6 AVIACION AGRICOLA'!CM10/'C6 AVIACION AGRICOLA'!CM15</f>
        <v>0.43181431293591194</v>
      </c>
      <c r="CN9" s="141">
        <f>'C6 AVIACION AGRICOLA'!CN10/'C6 AVIACION AGRICOLA'!CN15</f>
        <v>0.1235729470120463</v>
      </c>
      <c r="CO9" s="36" t="e">
        <f>'C6 AVIACION AGRICOLA'!CO10/'C6 AVIACION AGRICOLA'!CO15</f>
        <v>#DIV/0!</v>
      </c>
      <c r="CP9" s="36">
        <f>'C6 AVIACION AGRICOLA'!CP10/'C6 AVIACION AGRICOLA'!CP15</f>
        <v>4.5107907199256045</v>
      </c>
      <c r="CQ9" s="141" t="e">
        <f>'C6 AVIACION AGRICOLA'!CQ10/'C6 AVIACION AGRICOLA'!CQ15</f>
        <v>#DIV/0!</v>
      </c>
      <c r="CR9" s="36" t="e">
        <f>'C6 AVIACION AGRICOLA'!CR10/'C6 AVIACION AGRICOLA'!CR15</f>
        <v>#DIV/0!</v>
      </c>
      <c r="CS9" s="36" t="e">
        <f>'C6 AVIACION AGRICOLA'!CS10/'C6 AVIACION AGRICOLA'!CS15</f>
        <v>#DIV/0!</v>
      </c>
      <c r="CT9" s="141" t="e">
        <f>'C6 AVIACION AGRICOLA'!CT10/'C6 AVIACION AGRICOLA'!CT15</f>
        <v>#DIV/0!</v>
      </c>
      <c r="CU9" s="141">
        <f>'C6 AVIACION AGRICOLA'!CU10/'C6 AVIACION AGRICOLA'!CU15</f>
        <v>1.465484486494837</v>
      </c>
      <c r="CV9" s="36">
        <f>'C6 AVIACION AGRICOLA'!CV10/'C6 AVIACION AGRICOLA'!CV15</f>
        <v>1.2910494298165929</v>
      </c>
      <c r="CW9" s="36">
        <f>'C6 AVIACION AGRICOLA'!CW10/'C6 AVIACION AGRICOLA'!CW15</f>
        <v>1.2645647154246396</v>
      </c>
      <c r="CX9" s="141">
        <f>'C6 AVIACION AGRICOLA'!CX10/'C6 AVIACION AGRICOLA'!CX15</f>
        <v>1.6235679841464312</v>
      </c>
      <c r="CY9" s="141">
        <f>'C6 AVIACION AGRICOLA'!CY10/'C6 AVIACION AGRICOLA'!CY15</f>
        <v>371.3822393822394</v>
      </c>
      <c r="CZ9" s="36" t="e">
        <f>'C6 AVIACION AGRICOLA'!CZ10/'C6 AVIACION AGRICOLA'!CZ15</f>
        <v>#DIV/0!</v>
      </c>
      <c r="DA9" s="36">
        <f>'C6 AVIACION AGRICOLA'!DA10/'C6 AVIACION AGRICOLA'!DA15</f>
        <v>5.00963344342983</v>
      </c>
      <c r="DB9" s="141">
        <f>'C6 AVIACION AGRICOLA'!DB10/'C6 AVIACION AGRICOLA'!DB15</f>
        <v>9.884755179037853</v>
      </c>
      <c r="DC9" s="141">
        <f>'C6 AVIACION AGRICOLA'!DC10/'C6 AVIACION AGRICOLA'!DC15</f>
        <v>4.253819031343961</v>
      </c>
      <c r="DD9" s="36" t="e">
        <f>'C6 AVIACION AGRICOLA'!DD10/'C6 AVIACION AGRICOLA'!DD15</f>
        <v>#DIV/0!</v>
      </c>
      <c r="DE9" s="36" t="e">
        <f>'C6 AVIACION AGRICOLA'!DE10/'C6 AVIACION AGRICOLA'!DE15</f>
        <v>#DIV/0!</v>
      </c>
      <c r="DF9" s="141">
        <f>'C6 AVIACION AGRICOLA'!DF10/'C6 AVIACION AGRICOLA'!DF15</f>
        <v>1.9873929416228235</v>
      </c>
      <c r="DG9" s="141">
        <f>'C6 AVIACION AGRICOLA'!DG10/'C6 AVIACION AGRICOLA'!DG15</f>
        <v>2.217434306596214</v>
      </c>
      <c r="DH9" s="36" t="e">
        <f>'C6 AVIACION AGRICOLA'!DH10/'C6 AVIACION AGRICOLA'!DH15</f>
        <v>#DIV/0!</v>
      </c>
      <c r="DI9" s="36" t="e">
        <f>'C6 AVIACION AGRICOLA'!DI10/'C6 AVIACION AGRICOLA'!DI15</f>
        <v>#DIV/0!</v>
      </c>
      <c r="DJ9" s="141" t="e">
        <f>'C6 AVIACION AGRICOLA'!DJ10/'C6 AVIACION AGRICOLA'!DJ15</f>
        <v>#DIV/0!</v>
      </c>
      <c r="DK9" s="141" t="e">
        <f>'C6 AVIACION AGRICOLA'!DK10/'C6 AVIACION AGRICOLA'!DK15</f>
        <v>#DIV/0!</v>
      </c>
      <c r="DL9" s="36">
        <f>'C6 AVIACION AGRICOLA'!DL10/'C6 AVIACION AGRICOLA'!DL15</f>
        <v>1.845648461794207</v>
      </c>
      <c r="DM9" s="36" t="e">
        <f>'C6 AVIACION AGRICOLA'!DM10/'C6 AVIACION AGRICOLA'!DM15</f>
        <v>#DIV/0!</v>
      </c>
      <c r="DN9" s="141" t="e">
        <f>'C6 AVIACION AGRICOLA'!DN10/'C6 AVIACION AGRICOLA'!DN15</f>
        <v>#DIV/0!</v>
      </c>
      <c r="DO9" s="141" t="e">
        <f>'C6 AVIACION AGRICOLA'!DO10/'C6 AVIACION AGRICOLA'!DO15</f>
        <v>#DIV/0!</v>
      </c>
      <c r="DP9" s="36" t="e">
        <f>'C6 AVIACION AGRICOLA'!DP10/'C6 AVIACION AGRICOLA'!DP15</f>
        <v>#DIV/0!</v>
      </c>
      <c r="DQ9" s="36">
        <f>'C6 AVIACION AGRICOLA'!DQ10/'C6 AVIACION AGRICOLA'!DQ15</f>
        <v>1.3810941570524748</v>
      </c>
      <c r="DR9" s="141">
        <f>'C6 AVIACION AGRICOLA'!DR10/'C6 AVIACION AGRICOLA'!DR15</f>
        <v>1.4588010420543356</v>
      </c>
      <c r="DS9" s="141" t="e">
        <f>'C6 AVIACION AGRICOLA'!DS10/'C6 AVIACION AGRICOLA'!DS15</f>
        <v>#DIV/0!</v>
      </c>
      <c r="DT9" s="36" t="e">
        <f>'C6 AVIACION AGRICOLA'!DT10/'C6 AVIACION AGRICOLA'!DT15</f>
        <v>#DIV/0!</v>
      </c>
      <c r="DU9" s="36">
        <f>'C6 AVIACION AGRICOLA'!DU10/'C6 AVIACION AGRICOLA'!DU15</f>
        <v>0.8311882541398822</v>
      </c>
      <c r="DV9" s="141">
        <f>'C6 AVIACION AGRICOLA'!DV10/'C6 AVIACION AGRICOLA'!DV15</f>
        <v>1.0453793885343647</v>
      </c>
      <c r="DW9" s="141" t="e">
        <f>'C6 AVIACION AGRICOLA'!DW10/'C6 AVIACION AGRICOLA'!DW15</f>
        <v>#DIV/0!</v>
      </c>
      <c r="DX9" s="36" t="e">
        <f>'C6 AVIACION AGRICOLA'!DX10/'C6 AVIACION AGRICOLA'!DX15</f>
        <v>#DIV/0!</v>
      </c>
      <c r="DY9" s="36">
        <f>'C6 AVIACION AGRICOLA'!DY10/'C6 AVIACION AGRICOLA'!DY15</f>
        <v>2.298455817225056</v>
      </c>
      <c r="DZ9" s="141">
        <f>'C6 AVIACION AGRICOLA'!DZ10/'C6 AVIACION AGRICOLA'!DZ15</f>
        <v>1.3320595486964513</v>
      </c>
      <c r="EA9" s="141">
        <f>'C6 AVIACION AGRICOLA'!EA10/'C6 AVIACION AGRICOLA'!EA15</f>
        <v>3.409023761235885</v>
      </c>
      <c r="EB9" s="36" t="e">
        <f>'C6 AVIACION AGRICOLA'!EB10/'C6 AVIACION AGRICOLA'!EB15</f>
        <v>#DIV/0!</v>
      </c>
      <c r="EC9" s="36">
        <f>'C6 AVIACION AGRICOLA'!EC10/'C6 AVIACION AGRICOLA'!EC15</f>
        <v>0.971886576483085</v>
      </c>
      <c r="ED9" s="141">
        <f>'C6 AVIACION AGRICOLA'!ED10/'C6 AVIACION AGRICOLA'!ED15</f>
        <v>1.1002177434182074</v>
      </c>
      <c r="EE9" s="141">
        <f>'C6 AVIACION AGRICOLA'!EE10/'C6 AVIACION AGRICOLA'!EE15</f>
        <v>2.789486559545312</v>
      </c>
      <c r="EF9" s="36">
        <f>'C6 AVIACION AGRICOLA'!EF10/'C6 AVIACION AGRICOLA'!EF15</f>
        <v>2.1556693724116482</v>
      </c>
      <c r="EG9" s="36">
        <f>'C6 AVIACION AGRICOLA'!EG10/'C6 AVIACION AGRICOLA'!EG15</f>
        <v>1.8409321378203247</v>
      </c>
      <c r="EH9" s="141">
        <f>'C6 AVIACION AGRICOLA'!EH10/'C6 AVIACION AGRICOLA'!EH15</f>
        <v>1.6735295556334844</v>
      </c>
      <c r="EI9" s="141">
        <f>'C6 AVIACION AGRICOLA'!EI10/'C6 AVIACION AGRICOLA'!EI15</f>
        <v>1.5116149004901234</v>
      </c>
      <c r="EJ9" s="36">
        <f>'C6 AVIACION AGRICOLA'!EJ10/'C6 AVIACION AGRICOLA'!EJ15</f>
        <v>2.1218247946572104</v>
      </c>
      <c r="EK9" s="36">
        <f>'C6 AVIACION AGRICOLA'!EK10/'C6 AVIACION AGRICOLA'!EK15</f>
        <v>3.817907958922137</v>
      </c>
      <c r="EL9" s="141">
        <f>'C6 AVIACION AGRICOLA'!EL10/'C6 AVIACION AGRICOLA'!EL15</f>
        <v>2.411584042857483</v>
      </c>
      <c r="EM9" s="141">
        <f>'C6 AVIACION AGRICOLA'!EM10/'C6 AVIACION AGRICOLA'!EM15</f>
        <v>2.1017204743299747</v>
      </c>
      <c r="EN9" s="36">
        <f>'C6 AVIACION AGRICOLA'!EN10/'C6 AVIACION AGRICOLA'!EN15</f>
        <v>1.593639032296496</v>
      </c>
      <c r="EO9" s="36">
        <f>'C6 AVIACION AGRICOLA'!EO10/'C6 AVIACION AGRICOLA'!EO15</f>
        <v>1.5285997201599077</v>
      </c>
      <c r="EP9" s="141">
        <f>'C6 AVIACION AGRICOLA'!EP10/'C6 AVIACION AGRICOLA'!EP15</f>
        <v>1.5239300860857659</v>
      </c>
      <c r="EQ9" s="141" t="e">
        <f>'C6 AVIACION AGRICOLA'!EQ10/'C6 AVIACION AGRICOLA'!EQ15</f>
        <v>#DIV/0!</v>
      </c>
      <c r="ER9" s="36" t="e">
        <f>'C6 AVIACION AGRICOLA'!ER10/'C6 AVIACION AGRICOLA'!ER15</f>
        <v>#DIV/0!</v>
      </c>
      <c r="ES9" s="36" t="e">
        <f>'C6 AVIACION AGRICOLA'!ES10/'C6 AVIACION AGRICOLA'!ES15</f>
        <v>#DIV/0!</v>
      </c>
      <c r="ET9" s="141">
        <f>'C6 AVIACION AGRICOLA'!ET10/'C6 AVIACION AGRICOLA'!ET15</f>
        <v>2.7936492058383373</v>
      </c>
      <c r="EU9" s="141">
        <f>'C6 AVIACION AGRICOLA'!EU10/'C6 AVIACION AGRICOLA'!EU15</f>
        <v>1.214708956003762</v>
      </c>
      <c r="EV9" s="36">
        <f>'C6 AVIACION AGRICOLA'!EV10/'C6 AVIACION AGRICOLA'!EV15</f>
        <v>2.9780049600150527</v>
      </c>
      <c r="EW9" s="36">
        <f>'C6 AVIACION AGRICOLA'!EW10/'C6 AVIACION AGRICOLA'!EW15</f>
        <v>1.6509977367453195</v>
      </c>
      <c r="EX9" s="141">
        <f>'C6 AVIACION AGRICOLA'!EX10/'C6 AVIACION AGRICOLA'!EX15</f>
        <v>1.4617822493077401</v>
      </c>
      <c r="EY9" s="141">
        <f>'C6 AVIACION AGRICOLA'!EY10/'C6 AVIACION AGRICOLA'!EY15</f>
        <v>1.548613169296776</v>
      </c>
      <c r="EZ9" s="36" t="e">
        <f>'C6 AVIACION AGRICOLA'!EZ10/'C6 AVIACION AGRICOLA'!EZ15</f>
        <v>#DIV/0!</v>
      </c>
      <c r="FA9" s="36">
        <f>'C6 AVIACION AGRICOLA'!FA10/'C6 AVIACION AGRICOLA'!FA15</f>
        <v>1.918757308702506</v>
      </c>
      <c r="FB9" s="141">
        <f>'C6 AVIACION AGRICOLA'!FB10/'C6 AVIACION AGRICOLA'!FB15</f>
        <v>1.5736503060915035</v>
      </c>
      <c r="FC9" s="141" t="e">
        <f>'C6 AVIACION AGRICOLA'!FC10/'C6 AVIACION AGRICOLA'!FC15</f>
        <v>#DIV/0!</v>
      </c>
      <c r="FD9" s="36">
        <f>'C6 AVIACION AGRICOLA'!FD10/'C6 AVIACION AGRICOLA'!FD15</f>
        <v>0.6435689223057645</v>
      </c>
      <c r="FE9" s="36" t="e">
        <f>'C6 AVIACION AGRICOLA'!FE10/'C6 AVIACION AGRICOLA'!FE15</f>
        <v>#DIV/0!</v>
      </c>
      <c r="FF9" s="143" t="e">
        <f>'C6 AVIACION AGRICOLA'!FF10/'C6 AVIACION AGRICOLA'!FF15</f>
        <v>#DIV/0!</v>
      </c>
      <c r="FG9" s="141" t="e">
        <f>'C6 AVIACION AGRICOLA'!FG10/'C6 AVIACION AGRICOLA'!FG15</f>
        <v>#DIV/0!</v>
      </c>
      <c r="FH9" s="36">
        <f>'C6 AVIACION AGRICOLA'!FH10/'C6 AVIACION AGRICOLA'!FH15</f>
        <v>0.4414463143063887</v>
      </c>
      <c r="FI9" s="36" t="e">
        <f>'C6 AVIACION AGRICOLA'!FI10/'C6 AVIACION AGRICOLA'!FI15</f>
        <v>#DIV/0!</v>
      </c>
      <c r="FJ9" s="141" t="e">
        <f>'C6 AVIACION AGRICOLA'!FJ10/'C6 AVIACION AGRICOLA'!FJ15</f>
        <v>#DIV/0!</v>
      </c>
      <c r="FK9" s="141">
        <f>'C6 AVIACION AGRICOLA'!FK10/'C6 AVIACION AGRICOLA'!FK15</f>
        <v>0.7973491682851811</v>
      </c>
      <c r="FL9" s="36" t="e">
        <f>'C6 AVIACION AGRICOLA'!FL10/'C6 AVIACION AGRICOLA'!FL15</f>
        <v>#DIV/0!</v>
      </c>
      <c r="FM9" s="36" t="e">
        <f>'C6 AVIACION AGRICOLA'!FM10/'C6 AVIACION AGRICOLA'!FM15</f>
        <v>#DIV/0!</v>
      </c>
      <c r="FN9" s="141" t="e">
        <f>'C6 AVIACION AGRICOLA'!FN10/'C6 AVIACION AGRICOLA'!FN15</f>
        <v>#DIV/0!</v>
      </c>
      <c r="FO9" s="141">
        <f>'C6 AVIACION AGRICOLA'!FO10/'C6 AVIACION AGRICOLA'!FO15</f>
        <v>0.19316460958300755</v>
      </c>
    </row>
    <row r="10" spans="1:171" ht="12.75">
      <c r="A10" s="39" t="s">
        <v>43</v>
      </c>
      <c r="B10" s="37"/>
      <c r="C10" s="37"/>
      <c r="D10" s="142"/>
      <c r="E10" s="142"/>
      <c r="F10" s="37"/>
      <c r="G10" s="37"/>
      <c r="H10" s="142"/>
      <c r="I10" s="142"/>
      <c r="J10" s="37"/>
      <c r="K10" s="37"/>
      <c r="L10" s="142"/>
      <c r="M10" s="142"/>
      <c r="N10" s="37"/>
      <c r="O10" s="37"/>
      <c r="P10" s="142"/>
      <c r="Q10" s="142"/>
      <c r="R10" s="37"/>
      <c r="S10" s="37"/>
      <c r="T10" s="142"/>
      <c r="U10" s="142"/>
      <c r="V10" s="37"/>
      <c r="W10" s="37"/>
      <c r="X10" s="142"/>
      <c r="Y10" s="142"/>
      <c r="Z10" s="37"/>
      <c r="AA10" s="37"/>
      <c r="AB10" s="142"/>
      <c r="AC10" s="37"/>
      <c r="AD10" s="37"/>
      <c r="AE10" s="142"/>
      <c r="AF10" s="142"/>
      <c r="AG10" s="37"/>
      <c r="AH10" s="37"/>
      <c r="AI10" s="142"/>
      <c r="AJ10" s="142"/>
      <c r="AK10" s="37"/>
      <c r="AL10" s="37"/>
      <c r="AM10" s="142"/>
      <c r="AN10" s="142"/>
      <c r="AO10" s="37"/>
      <c r="AP10" s="37"/>
      <c r="AQ10" s="142"/>
      <c r="AR10" s="142"/>
      <c r="AS10" s="37"/>
      <c r="AT10" s="37"/>
      <c r="AU10" s="142"/>
      <c r="AV10" s="142"/>
      <c r="AW10" s="37"/>
      <c r="AX10" s="37"/>
      <c r="AY10" s="142"/>
      <c r="AZ10" s="142"/>
      <c r="BA10" s="37"/>
      <c r="BB10" s="37"/>
      <c r="BC10" s="142"/>
      <c r="BD10" s="142"/>
      <c r="BE10" s="37"/>
      <c r="BF10" s="37"/>
      <c r="BG10" s="142"/>
      <c r="BH10" s="142"/>
      <c r="BI10" s="37"/>
      <c r="BJ10" s="37"/>
      <c r="BK10" s="142"/>
      <c r="BL10" s="142"/>
      <c r="BM10" s="37"/>
      <c r="BN10" s="37"/>
      <c r="BO10" s="142"/>
      <c r="BP10" s="142"/>
      <c r="BQ10" s="37"/>
      <c r="BR10" s="37"/>
      <c r="BS10" s="142"/>
      <c r="BT10" s="142"/>
      <c r="BU10" s="37"/>
      <c r="BV10" s="37"/>
      <c r="BW10" s="142"/>
      <c r="BX10" s="142"/>
      <c r="BY10" s="37"/>
      <c r="BZ10" s="37"/>
      <c r="CA10" s="142"/>
      <c r="CB10" s="142"/>
      <c r="CC10" s="37"/>
      <c r="CD10" s="37"/>
      <c r="CE10" s="142"/>
      <c r="CF10" s="142"/>
      <c r="CG10" s="37"/>
      <c r="CH10" s="37"/>
      <c r="CI10" s="142"/>
      <c r="CJ10" s="142"/>
      <c r="CK10" s="37"/>
      <c r="CL10" s="37"/>
      <c r="CM10" s="142"/>
      <c r="CN10" s="142"/>
      <c r="CO10" s="37"/>
      <c r="CP10" s="37"/>
      <c r="CQ10" s="142"/>
      <c r="CR10" s="37"/>
      <c r="CS10" s="37"/>
      <c r="CT10" s="142"/>
      <c r="CU10" s="142"/>
      <c r="CV10" s="37"/>
      <c r="CW10" s="37"/>
      <c r="CX10" s="142"/>
      <c r="CY10" s="142"/>
      <c r="CZ10" s="37"/>
      <c r="DA10" s="37"/>
      <c r="DB10" s="142"/>
      <c r="DC10" s="142"/>
      <c r="DD10" s="37"/>
      <c r="DE10" s="37"/>
      <c r="DF10" s="142"/>
      <c r="DG10" s="142"/>
      <c r="DH10" s="37"/>
      <c r="DI10" s="37"/>
      <c r="DJ10" s="142"/>
      <c r="DK10" s="142"/>
      <c r="DL10" s="37"/>
      <c r="DM10" s="37"/>
      <c r="DN10" s="142"/>
      <c r="DO10" s="142"/>
      <c r="DP10" s="37"/>
      <c r="DQ10" s="37"/>
      <c r="DR10" s="142"/>
      <c r="DS10" s="142"/>
      <c r="DT10" s="37"/>
      <c r="DU10" s="37"/>
      <c r="DV10" s="142"/>
      <c r="DW10" s="142"/>
      <c r="DX10" s="37"/>
      <c r="DY10" s="37"/>
      <c r="DZ10" s="142"/>
      <c r="EA10" s="142"/>
      <c r="EB10" s="37"/>
      <c r="EC10" s="37"/>
      <c r="ED10" s="142"/>
      <c r="EE10" s="142"/>
      <c r="EF10" s="37"/>
      <c r="EG10" s="37"/>
      <c r="EH10" s="142"/>
      <c r="EI10" s="142"/>
      <c r="EJ10" s="37"/>
      <c r="EK10" s="37"/>
      <c r="EL10" s="142"/>
      <c r="EM10" s="142"/>
      <c r="EN10" s="37"/>
      <c r="EO10" s="37"/>
      <c r="EP10" s="142"/>
      <c r="EQ10" s="142"/>
      <c r="ER10" s="37"/>
      <c r="ES10" s="37"/>
      <c r="ET10" s="142"/>
      <c r="EU10" s="142"/>
      <c r="EV10" s="37"/>
      <c r="EW10" s="37"/>
      <c r="EX10" s="142"/>
      <c r="EY10" s="142"/>
      <c r="EZ10" s="37"/>
      <c r="FA10" s="37"/>
      <c r="FB10" s="142"/>
      <c r="FC10" s="142"/>
      <c r="FD10" s="37"/>
      <c r="FE10" s="37"/>
      <c r="FF10" s="144"/>
      <c r="FG10" s="142"/>
      <c r="FH10" s="37"/>
      <c r="FI10" s="37"/>
      <c r="FJ10" s="142"/>
      <c r="FK10" s="142"/>
      <c r="FL10" s="37"/>
      <c r="FM10" s="37"/>
      <c r="FN10" s="142"/>
      <c r="FO10" s="142"/>
    </row>
    <row r="11" spans="1:171" ht="12.75">
      <c r="A11" s="41" t="s">
        <v>10</v>
      </c>
      <c r="B11" s="37">
        <f>+'C6 AVIACION AGRICOLA'!B15/'C6 AVIACION AGRICOLA'!B18</f>
        <v>0.6709641519673566</v>
      </c>
      <c r="C11" s="37">
        <f>+'C6 AVIACION AGRICOLA'!C15/'C6 AVIACION AGRICOLA'!C18</f>
        <v>0.8948428109473527</v>
      </c>
      <c r="D11" s="142">
        <f>+'C6 AVIACION AGRICOLA'!D15/'C6 AVIACION AGRICOLA'!D18</f>
        <v>0.9146098940812484</v>
      </c>
      <c r="E11" s="142">
        <f>+'C6 AVIACION AGRICOLA'!E15/'C6 AVIACION AGRICOLA'!E18</f>
        <v>0.7090563986993809</v>
      </c>
      <c r="F11" s="37">
        <f>+'C6 AVIACION AGRICOLA'!F15/'C6 AVIACION AGRICOLA'!F18</f>
        <v>0.5867297022523195</v>
      </c>
      <c r="G11" s="37">
        <f>+'C6 AVIACION AGRICOLA'!G15/'C6 AVIACION AGRICOLA'!G18</f>
        <v>0.5933202460911297</v>
      </c>
      <c r="H11" s="142">
        <f>+'C6 AVIACION AGRICOLA'!H15/'C6 AVIACION AGRICOLA'!H18</f>
        <v>0.5799407722131708</v>
      </c>
      <c r="I11" s="142">
        <f>+'C6 AVIACION AGRICOLA'!I15/'C6 AVIACION AGRICOLA'!I18</f>
        <v>0.6187489238021793</v>
      </c>
      <c r="J11" s="37" t="e">
        <f>+'C6 AVIACION AGRICOLA'!J15/'C6 AVIACION AGRICOLA'!J18</f>
        <v>#DIV/0!</v>
      </c>
      <c r="K11" s="37">
        <f>+'C6 AVIACION AGRICOLA'!K15/'C6 AVIACION AGRICOLA'!K18</f>
        <v>0.6229082394156493</v>
      </c>
      <c r="L11" s="142">
        <f>+'C6 AVIACION AGRICOLA'!L15/'C6 AVIACION AGRICOLA'!L18</f>
        <v>0.9151827675961774</v>
      </c>
      <c r="M11" s="142" t="e">
        <f>+'C6 AVIACION AGRICOLA'!M15/'C6 AVIACION AGRICOLA'!M18</f>
        <v>#DIV/0!</v>
      </c>
      <c r="N11" s="37" t="e">
        <f>+'C6 AVIACION AGRICOLA'!N15/'C6 AVIACION AGRICOLA'!N18</f>
        <v>#DIV/0!</v>
      </c>
      <c r="O11" s="37">
        <f>+'C6 AVIACION AGRICOLA'!O15/'C6 AVIACION AGRICOLA'!O18</f>
        <v>1</v>
      </c>
      <c r="P11" s="142">
        <f>+'C6 AVIACION AGRICOLA'!P15/'C6 AVIACION AGRICOLA'!P18</f>
        <v>0.8295735985289939</v>
      </c>
      <c r="Q11" s="142">
        <f>+'C6 AVIACION AGRICOLA'!Q15/'C6 AVIACION AGRICOLA'!Q18</f>
        <v>1</v>
      </c>
      <c r="R11" s="37">
        <f>+'C6 AVIACION AGRICOLA'!R15/'C6 AVIACION AGRICOLA'!R18</f>
        <v>1</v>
      </c>
      <c r="S11" s="37">
        <f>+'C6 AVIACION AGRICOLA'!S15/'C6 AVIACION AGRICOLA'!S18</f>
        <v>1</v>
      </c>
      <c r="T11" s="142">
        <f>+'C6 AVIACION AGRICOLA'!T15/'C6 AVIACION AGRICOLA'!T18</f>
        <v>1</v>
      </c>
      <c r="U11" s="142">
        <f>+'C6 AVIACION AGRICOLA'!U15/'C6 AVIACION AGRICOLA'!U18</f>
        <v>1</v>
      </c>
      <c r="V11" s="37" t="e">
        <f>+'C6 AVIACION AGRICOLA'!V15/'C6 AVIACION AGRICOLA'!V18</f>
        <v>#DIV/0!</v>
      </c>
      <c r="W11" s="37">
        <f>+'C6 AVIACION AGRICOLA'!W15/'C6 AVIACION AGRICOLA'!W18</f>
        <v>1</v>
      </c>
      <c r="X11" s="142">
        <f>+'C6 AVIACION AGRICOLA'!X15/'C6 AVIACION AGRICOLA'!X18</f>
        <v>0.8607224270952043</v>
      </c>
      <c r="Y11" s="142">
        <f>+'C6 AVIACION AGRICOLA'!Y15/'C6 AVIACION AGRICOLA'!Y18</f>
        <v>1</v>
      </c>
      <c r="Z11" s="37">
        <f>+'C6 AVIACION AGRICOLA'!Z15/'C6 AVIACION AGRICOLA'!Z18</f>
        <v>1</v>
      </c>
      <c r="AA11" s="37" t="e">
        <f>+'C6 AVIACION AGRICOLA'!AA15/'C6 AVIACION AGRICOLA'!AA18</f>
        <v>#DIV/0!</v>
      </c>
      <c r="AB11" s="142">
        <f>+'C6 AVIACION AGRICOLA'!AB15/'C6 AVIACION AGRICOLA'!AB18</f>
        <v>0.6763483063328424</v>
      </c>
      <c r="AC11" s="37" t="e">
        <f>+'C6 AVIACION AGRICOLA'!AC15/'C6 AVIACION AGRICOLA'!AC18</f>
        <v>#DIV/0!</v>
      </c>
      <c r="AD11" s="37" t="e">
        <f>+'C6 AVIACION AGRICOLA'!AD15/'C6 AVIACION AGRICOLA'!AD18</f>
        <v>#DIV/0!</v>
      </c>
      <c r="AE11" s="142" t="e">
        <f>+'C6 AVIACION AGRICOLA'!AE15/'C6 AVIACION AGRICOLA'!AE18</f>
        <v>#DIV/0!</v>
      </c>
      <c r="AF11" s="142">
        <f>+'C6 AVIACION AGRICOLA'!AF15/'C6 AVIACION AGRICOLA'!AF18</f>
        <v>0.45476156275556423</v>
      </c>
      <c r="AG11" s="37">
        <f>+'C6 AVIACION AGRICOLA'!AG15/'C6 AVIACION AGRICOLA'!AG18</f>
        <v>0</v>
      </c>
      <c r="AH11" s="37">
        <f>+'C6 AVIACION AGRICOLA'!AH15/'C6 AVIACION AGRICOLA'!AH18</f>
        <v>0.9884167396458612</v>
      </c>
      <c r="AI11" s="142">
        <f>+'C6 AVIACION AGRICOLA'!AI15/'C6 AVIACION AGRICOLA'!AI18</f>
        <v>0.9839556020397842</v>
      </c>
      <c r="AJ11" s="142">
        <f>+'C6 AVIACION AGRICOLA'!AJ15/'C6 AVIACION AGRICOLA'!AJ18</f>
        <v>1</v>
      </c>
      <c r="AK11" s="37" t="e">
        <f>+'C6 AVIACION AGRICOLA'!AK15/'C6 AVIACION AGRICOLA'!AK18</f>
        <v>#DIV/0!</v>
      </c>
      <c r="AL11" s="37" t="e">
        <f>+'C6 AVIACION AGRICOLA'!AL15/'C6 AVIACION AGRICOLA'!AL18</f>
        <v>#DIV/0!</v>
      </c>
      <c r="AM11" s="142" t="e">
        <f>+'C6 AVIACION AGRICOLA'!AM15/'C6 AVIACION AGRICOLA'!AM18</f>
        <v>#DIV/0!</v>
      </c>
      <c r="AN11" s="142" t="e">
        <f>+'C6 AVIACION AGRICOLA'!AN15/'C6 AVIACION AGRICOLA'!AN18</f>
        <v>#DIV/0!</v>
      </c>
      <c r="AO11" s="37" t="e">
        <f>+'C6 AVIACION AGRICOLA'!AO15/'C6 AVIACION AGRICOLA'!AO18</f>
        <v>#DIV/0!</v>
      </c>
      <c r="AP11" s="37" t="e">
        <f>+'C6 AVIACION AGRICOLA'!AP15/'C6 AVIACION AGRICOLA'!AP18</f>
        <v>#DIV/0!</v>
      </c>
      <c r="AQ11" s="142">
        <f>+'C6 AVIACION AGRICOLA'!AQ15/'C6 AVIACION AGRICOLA'!AQ18</f>
        <v>1</v>
      </c>
      <c r="AR11" s="142">
        <f>+'C6 AVIACION AGRICOLA'!AR15/'C6 AVIACION AGRICOLA'!AR18</f>
        <v>1</v>
      </c>
      <c r="AS11" s="37">
        <f>+'C6 AVIACION AGRICOLA'!AS15/'C6 AVIACION AGRICOLA'!AS18</f>
        <v>0.137735022519667</v>
      </c>
      <c r="AT11" s="37">
        <f>+'C6 AVIACION AGRICOLA'!AT15/'C6 AVIACION AGRICOLA'!AT18</f>
        <v>0.15999407953862996</v>
      </c>
      <c r="AU11" s="142">
        <f>+'C6 AVIACION AGRICOLA'!AU15/'C6 AVIACION AGRICOLA'!AU18</f>
        <v>1</v>
      </c>
      <c r="AV11" s="142">
        <f>+'C6 AVIACION AGRICOLA'!AV15/'C6 AVIACION AGRICOLA'!AV18</f>
        <v>1</v>
      </c>
      <c r="AW11" s="37" t="e">
        <f>+'C6 AVIACION AGRICOLA'!AW15/'C6 AVIACION AGRICOLA'!AW18</f>
        <v>#DIV/0!</v>
      </c>
      <c r="AX11" s="37">
        <f>+'C6 AVIACION AGRICOLA'!AX15/'C6 AVIACION AGRICOLA'!AX18</f>
        <v>1</v>
      </c>
      <c r="AY11" s="142">
        <f>+'C6 AVIACION AGRICOLA'!AY15/'C6 AVIACION AGRICOLA'!AY18</f>
        <v>1</v>
      </c>
      <c r="AZ11" s="142">
        <f>+'C6 AVIACION AGRICOLA'!AZ15/'C6 AVIACION AGRICOLA'!AZ18</f>
        <v>1</v>
      </c>
      <c r="BA11" s="37">
        <f>+'C6 AVIACION AGRICOLA'!BA15/'C6 AVIACION AGRICOLA'!BA18</f>
        <v>0.5270308912764913</v>
      </c>
      <c r="BB11" s="37">
        <f>+'C6 AVIACION AGRICOLA'!BB15/'C6 AVIACION AGRICOLA'!BB18</f>
        <v>0.9907511070709004</v>
      </c>
      <c r="BC11" s="142">
        <f>+'C6 AVIACION AGRICOLA'!BC15/'C6 AVIACION AGRICOLA'!BC18</f>
        <v>0.9091861781995545</v>
      </c>
      <c r="BD11" s="142">
        <f>+'C6 AVIACION AGRICOLA'!BD15/'C6 AVIACION AGRICOLA'!BD18</f>
        <v>0.8546672341146255</v>
      </c>
      <c r="BE11" s="37" t="e">
        <f>+'C6 AVIACION AGRICOLA'!BE15/'C6 AVIACION AGRICOLA'!BE18</f>
        <v>#DIV/0!</v>
      </c>
      <c r="BF11" s="37">
        <f>+'C6 AVIACION AGRICOLA'!BF15/'C6 AVIACION AGRICOLA'!BF18</f>
        <v>1</v>
      </c>
      <c r="BG11" s="142">
        <f>+'C6 AVIACION AGRICOLA'!BG15/'C6 AVIACION AGRICOLA'!BG18</f>
        <v>1</v>
      </c>
      <c r="BH11" s="142">
        <f>+'C6 AVIACION AGRICOLA'!BH15/'C6 AVIACION AGRICOLA'!BH18</f>
        <v>1</v>
      </c>
      <c r="BI11" s="37" t="e">
        <f>+'C6 AVIACION AGRICOLA'!BI15/'C6 AVIACION AGRICOLA'!BI18</f>
        <v>#DIV/0!</v>
      </c>
      <c r="BJ11" s="37" t="e">
        <f>+'C6 AVIACION AGRICOLA'!BJ15/'C6 AVIACION AGRICOLA'!BJ18</f>
        <v>#DIV/0!</v>
      </c>
      <c r="BK11" s="142">
        <f>+'C6 AVIACION AGRICOLA'!BK15/'C6 AVIACION AGRICOLA'!BK18</f>
        <v>1</v>
      </c>
      <c r="BL11" s="142">
        <f>+'C6 AVIACION AGRICOLA'!BL15/'C6 AVIACION AGRICOLA'!BL18</f>
        <v>1</v>
      </c>
      <c r="BM11" s="37">
        <f>+'C6 AVIACION AGRICOLA'!BM15/'C6 AVIACION AGRICOLA'!BM18</f>
        <v>0.7375264625410154</v>
      </c>
      <c r="BN11" s="37">
        <f>+'C6 AVIACION AGRICOLA'!BN15/'C6 AVIACION AGRICOLA'!BN18</f>
        <v>0.7560531616476012</v>
      </c>
      <c r="BO11" s="142">
        <f>+'C6 AVIACION AGRICOLA'!BO15/'C6 AVIACION AGRICOLA'!BO18</f>
        <v>0.9826290831285615</v>
      </c>
      <c r="BP11" s="142">
        <f>+'C6 AVIACION AGRICOLA'!BP15/'C6 AVIACION AGRICOLA'!BP18</f>
        <v>0.8254531867225151</v>
      </c>
      <c r="BQ11" s="37" t="e">
        <f>+'C6 AVIACION AGRICOLA'!BQ15/'C6 AVIACION AGRICOLA'!BQ18</f>
        <v>#DIV/0!</v>
      </c>
      <c r="BR11" s="37" t="e">
        <f>+'C6 AVIACION AGRICOLA'!BR15/'C6 AVIACION AGRICOLA'!BR18</f>
        <v>#DIV/0!</v>
      </c>
      <c r="BS11" s="142">
        <f>+'C6 AVIACION AGRICOLA'!BS15/'C6 AVIACION AGRICOLA'!BS18</f>
        <v>0.9118673443099047</v>
      </c>
      <c r="BT11" s="142">
        <f>+'C6 AVIACION AGRICOLA'!BT15/'C6 AVIACION AGRICOLA'!BT18</f>
        <v>0.9640113511653127</v>
      </c>
      <c r="BU11" s="37">
        <f>+'C6 AVIACION AGRICOLA'!BU15/'C6 AVIACION AGRICOLA'!BU18</f>
        <v>1</v>
      </c>
      <c r="BV11" s="37">
        <f>+'C6 AVIACION AGRICOLA'!BV15/'C6 AVIACION AGRICOLA'!BV18</f>
        <v>1</v>
      </c>
      <c r="BW11" s="142">
        <f>+'C6 AVIACION AGRICOLA'!BW15/'C6 AVIACION AGRICOLA'!BW18</f>
        <v>1</v>
      </c>
      <c r="BX11" s="142">
        <f>+'C6 AVIACION AGRICOLA'!BX15/'C6 AVIACION AGRICOLA'!BX18</f>
        <v>1</v>
      </c>
      <c r="BY11" s="37">
        <f>+'C6 AVIACION AGRICOLA'!BY15/'C6 AVIACION AGRICOLA'!BY18</f>
        <v>0.9923334147039141</v>
      </c>
      <c r="BZ11" s="37">
        <f>+'C6 AVIACION AGRICOLA'!BZ15/'C6 AVIACION AGRICOLA'!BZ18</f>
        <v>0.9920057545137169</v>
      </c>
      <c r="CA11" s="142">
        <f>+'C6 AVIACION AGRICOLA'!CA15/'C6 AVIACION AGRICOLA'!CA18</f>
        <v>1</v>
      </c>
      <c r="CB11" s="142">
        <f>+'C6 AVIACION AGRICOLA'!CB15/'C6 AVIACION AGRICOLA'!CB18</f>
        <v>1</v>
      </c>
      <c r="CC11" s="37" t="e">
        <f>+'C6 AVIACION AGRICOLA'!CC15/'C6 AVIACION AGRICOLA'!CC18</f>
        <v>#DIV/0!</v>
      </c>
      <c r="CD11" s="37" t="e">
        <f>+'C6 AVIACION AGRICOLA'!CD15/'C6 AVIACION AGRICOLA'!CD18</f>
        <v>#DIV/0!</v>
      </c>
      <c r="CE11" s="142">
        <f>+'C6 AVIACION AGRICOLA'!CE15/'C6 AVIACION AGRICOLA'!CE18</f>
        <v>1</v>
      </c>
      <c r="CF11" s="142" t="e">
        <f>+'C6 AVIACION AGRICOLA'!CF15/'C6 AVIACION AGRICOLA'!CF18</f>
        <v>#DIV/0!</v>
      </c>
      <c r="CG11" s="37">
        <f>+'C6 AVIACION AGRICOLA'!CG15/'C6 AVIACION AGRICOLA'!CG18</f>
        <v>0</v>
      </c>
      <c r="CH11" s="37">
        <f>+'C6 AVIACION AGRICOLA'!CH15/'C6 AVIACION AGRICOLA'!CH18</f>
        <v>1</v>
      </c>
      <c r="CI11" s="142">
        <f>+'C6 AVIACION AGRICOLA'!CI15/'C6 AVIACION AGRICOLA'!CI18</f>
        <v>1</v>
      </c>
      <c r="CJ11" s="142">
        <f>+'C6 AVIACION AGRICOLA'!CJ15/'C6 AVIACION AGRICOLA'!CJ18</f>
        <v>1</v>
      </c>
      <c r="CK11" s="37" t="e">
        <f>+'C6 AVIACION AGRICOLA'!CK15/'C6 AVIACION AGRICOLA'!CK18</f>
        <v>#DIV/0!</v>
      </c>
      <c r="CL11" s="37">
        <f>+'C6 AVIACION AGRICOLA'!CL15/'C6 AVIACION AGRICOLA'!CL18</f>
        <v>1</v>
      </c>
      <c r="CM11" s="142">
        <f>+'C6 AVIACION AGRICOLA'!CM15/'C6 AVIACION AGRICOLA'!CM18</f>
        <v>1</v>
      </c>
      <c r="CN11" s="142">
        <f>+'C6 AVIACION AGRICOLA'!CN15/'C6 AVIACION AGRICOLA'!CN18</f>
        <v>1</v>
      </c>
      <c r="CO11" s="37" t="e">
        <f>+'C6 AVIACION AGRICOLA'!CO15/'C6 AVIACION AGRICOLA'!CO18</f>
        <v>#DIV/0!</v>
      </c>
      <c r="CP11" s="37">
        <f>+'C6 AVIACION AGRICOLA'!CP15/'C6 AVIACION AGRICOLA'!CP18</f>
        <v>1</v>
      </c>
      <c r="CQ11" s="142" t="e">
        <f>+'C6 AVIACION AGRICOLA'!CQ15/'C6 AVIACION AGRICOLA'!CQ18</f>
        <v>#DIV/0!</v>
      </c>
      <c r="CR11" s="37" t="e">
        <f>+'C6 AVIACION AGRICOLA'!CR15/'C6 AVIACION AGRICOLA'!CR18</f>
        <v>#DIV/0!</v>
      </c>
      <c r="CS11" s="37" t="e">
        <f>+'C6 AVIACION AGRICOLA'!CS15/'C6 AVIACION AGRICOLA'!CS18</f>
        <v>#DIV/0!</v>
      </c>
      <c r="CT11" s="142" t="e">
        <f>+'C6 AVIACION AGRICOLA'!CT15/'C6 AVIACION AGRICOLA'!CT18</f>
        <v>#DIV/0!</v>
      </c>
      <c r="CU11" s="142">
        <f>+'C6 AVIACION AGRICOLA'!CU15/'C6 AVIACION AGRICOLA'!CU18</f>
        <v>1</v>
      </c>
      <c r="CV11" s="37">
        <f>+'C6 AVIACION AGRICOLA'!CV15/'C6 AVIACION AGRICOLA'!CV18</f>
        <v>1</v>
      </c>
      <c r="CW11" s="37">
        <f>+'C6 AVIACION AGRICOLA'!CW15/'C6 AVIACION AGRICOLA'!CW18</f>
        <v>1</v>
      </c>
      <c r="CX11" s="142">
        <f>+'C6 AVIACION AGRICOLA'!CX15/'C6 AVIACION AGRICOLA'!CX18</f>
        <v>1</v>
      </c>
      <c r="CY11" s="142">
        <f>+'C6 AVIACION AGRICOLA'!CY15/'C6 AVIACION AGRICOLA'!CY18</f>
        <v>1</v>
      </c>
      <c r="CZ11" s="37" t="e">
        <f>+'C6 AVIACION AGRICOLA'!CZ15/'C6 AVIACION AGRICOLA'!CZ18</f>
        <v>#DIV/0!</v>
      </c>
      <c r="DA11" s="37">
        <f>+'C6 AVIACION AGRICOLA'!DA15/'C6 AVIACION AGRICOLA'!DA18</f>
        <v>1</v>
      </c>
      <c r="DB11" s="142">
        <f>+'C6 AVIACION AGRICOLA'!DB15/'C6 AVIACION AGRICOLA'!DB18</f>
        <v>1</v>
      </c>
      <c r="DC11" s="142">
        <f>+'C6 AVIACION AGRICOLA'!DC15/'C6 AVIACION AGRICOLA'!DC18</f>
        <v>1</v>
      </c>
      <c r="DD11" s="37">
        <f>+'C6 AVIACION AGRICOLA'!DD15/'C6 AVIACION AGRICOLA'!DD18</f>
        <v>0</v>
      </c>
      <c r="DE11" s="37">
        <f>+'C6 AVIACION AGRICOLA'!DE15/'C6 AVIACION AGRICOLA'!DE18</f>
        <v>0</v>
      </c>
      <c r="DF11" s="142">
        <f>+'C6 AVIACION AGRICOLA'!DF15/'C6 AVIACION AGRICOLA'!DF18</f>
        <v>0.9936300465696567</v>
      </c>
      <c r="DG11" s="142">
        <f>+'C6 AVIACION AGRICOLA'!DG15/'C6 AVIACION AGRICOLA'!DG18</f>
        <v>1</v>
      </c>
      <c r="DH11" s="37" t="e">
        <f>+'C6 AVIACION AGRICOLA'!DH15/'C6 AVIACION AGRICOLA'!DH18</f>
        <v>#DIV/0!</v>
      </c>
      <c r="DI11" s="37" t="e">
        <f>+'C6 AVIACION AGRICOLA'!DI15/'C6 AVIACION AGRICOLA'!DI18</f>
        <v>#DIV/0!</v>
      </c>
      <c r="DJ11" s="142" t="e">
        <f>+'C6 AVIACION AGRICOLA'!DJ15/'C6 AVIACION AGRICOLA'!DJ18</f>
        <v>#DIV/0!</v>
      </c>
      <c r="DK11" s="142" t="e">
        <f>+'C6 AVIACION AGRICOLA'!DK15/'C6 AVIACION AGRICOLA'!DK18</f>
        <v>#DIV/0!</v>
      </c>
      <c r="DL11" s="37">
        <f>+'C6 AVIACION AGRICOLA'!DL15/'C6 AVIACION AGRICOLA'!DL18</f>
        <v>1</v>
      </c>
      <c r="DM11" s="37" t="e">
        <f>+'C6 AVIACION AGRICOLA'!DM15/'C6 AVIACION AGRICOLA'!DM18</f>
        <v>#DIV/0!</v>
      </c>
      <c r="DN11" s="142" t="e">
        <f>+'C6 AVIACION AGRICOLA'!DN15/'C6 AVIACION AGRICOLA'!DN18</f>
        <v>#DIV/0!</v>
      </c>
      <c r="DO11" s="142" t="e">
        <f>+'C6 AVIACION AGRICOLA'!DO15/'C6 AVIACION AGRICOLA'!DO18</f>
        <v>#DIV/0!</v>
      </c>
      <c r="DP11" s="37" t="e">
        <f>+'C6 AVIACION AGRICOLA'!DP15/'C6 AVIACION AGRICOLA'!DP18</f>
        <v>#DIV/0!</v>
      </c>
      <c r="DQ11" s="37">
        <f>+'C6 AVIACION AGRICOLA'!DQ15/'C6 AVIACION AGRICOLA'!DQ18</f>
        <v>1</v>
      </c>
      <c r="DR11" s="142">
        <f>+'C6 AVIACION AGRICOLA'!DR15/'C6 AVIACION AGRICOLA'!DR18</f>
        <v>1</v>
      </c>
      <c r="DS11" s="142" t="e">
        <f>+'C6 AVIACION AGRICOLA'!DS15/'C6 AVIACION AGRICOLA'!DS18</f>
        <v>#DIV/0!</v>
      </c>
      <c r="DT11" s="37" t="e">
        <f>+'C6 AVIACION AGRICOLA'!DT15/'C6 AVIACION AGRICOLA'!DT18</f>
        <v>#DIV/0!</v>
      </c>
      <c r="DU11" s="37">
        <f>+'C6 AVIACION AGRICOLA'!DU15/'C6 AVIACION AGRICOLA'!DU18</f>
        <v>1</v>
      </c>
      <c r="DV11" s="142">
        <f>+'C6 AVIACION AGRICOLA'!DV15/'C6 AVIACION AGRICOLA'!DV18</f>
        <v>1</v>
      </c>
      <c r="DW11" s="142" t="e">
        <f>+'C6 AVIACION AGRICOLA'!DW15/'C6 AVIACION AGRICOLA'!DW18</f>
        <v>#DIV/0!</v>
      </c>
      <c r="DX11" s="37" t="e">
        <f>+'C6 AVIACION AGRICOLA'!DX15/'C6 AVIACION AGRICOLA'!DX18</f>
        <v>#DIV/0!</v>
      </c>
      <c r="DY11" s="37">
        <f>+'C6 AVIACION AGRICOLA'!DY15/'C6 AVIACION AGRICOLA'!DY18</f>
        <v>1</v>
      </c>
      <c r="DZ11" s="142">
        <f>+'C6 AVIACION AGRICOLA'!DZ15/'C6 AVIACION AGRICOLA'!DZ18</f>
        <v>1</v>
      </c>
      <c r="EA11" s="142">
        <f>+'C6 AVIACION AGRICOLA'!EA15/'C6 AVIACION AGRICOLA'!EA18</f>
        <v>1</v>
      </c>
      <c r="EB11" s="37" t="e">
        <f>+'C6 AVIACION AGRICOLA'!EB15/'C6 AVIACION AGRICOLA'!EB18</f>
        <v>#DIV/0!</v>
      </c>
      <c r="EC11" s="37">
        <f>+'C6 AVIACION AGRICOLA'!EC15/'C6 AVIACION AGRICOLA'!EC18</f>
        <v>1</v>
      </c>
      <c r="ED11" s="142">
        <f>+'C6 AVIACION AGRICOLA'!ED15/'C6 AVIACION AGRICOLA'!ED18</f>
        <v>1</v>
      </c>
      <c r="EE11" s="142">
        <f>+'C6 AVIACION AGRICOLA'!EE15/'C6 AVIACION AGRICOLA'!EE18</f>
        <v>0.2527090281705959</v>
      </c>
      <c r="EF11" s="37">
        <f>+'C6 AVIACION AGRICOLA'!EF15/'C6 AVIACION AGRICOLA'!EF18</f>
        <v>1</v>
      </c>
      <c r="EG11" s="37">
        <f>+'C6 AVIACION AGRICOLA'!EG15/'C6 AVIACION AGRICOLA'!EG18</f>
        <v>1</v>
      </c>
      <c r="EH11" s="142">
        <f>+'C6 AVIACION AGRICOLA'!EH15/'C6 AVIACION AGRICOLA'!EH18</f>
        <v>1</v>
      </c>
      <c r="EI11" s="142">
        <f>+'C6 AVIACION AGRICOLA'!EI15/'C6 AVIACION AGRICOLA'!EI18</f>
        <v>1</v>
      </c>
      <c r="EJ11" s="37">
        <f>+'C6 AVIACION AGRICOLA'!EJ15/'C6 AVIACION AGRICOLA'!EJ18</f>
        <v>0.7211352883278949</v>
      </c>
      <c r="EK11" s="37">
        <f>+'C6 AVIACION AGRICOLA'!EK15/'C6 AVIACION AGRICOLA'!EK18</f>
        <v>1</v>
      </c>
      <c r="EL11" s="142">
        <f>+'C6 AVIACION AGRICOLA'!EL15/'C6 AVIACION AGRICOLA'!EL18</f>
        <v>0.8593899305923387</v>
      </c>
      <c r="EM11" s="142">
        <f>+'C6 AVIACION AGRICOLA'!EM15/'C6 AVIACION AGRICOLA'!EM18</f>
        <v>1</v>
      </c>
      <c r="EN11" s="37">
        <f>+'C6 AVIACION AGRICOLA'!EN15/'C6 AVIACION AGRICOLA'!EN18</f>
        <v>1</v>
      </c>
      <c r="EO11" s="37">
        <f>+'C6 AVIACION AGRICOLA'!EO15/'C6 AVIACION AGRICOLA'!EO18</f>
        <v>1</v>
      </c>
      <c r="EP11" s="142">
        <f>+'C6 AVIACION AGRICOLA'!EP15/'C6 AVIACION AGRICOLA'!EP18</f>
        <v>1</v>
      </c>
      <c r="EQ11" s="142" t="e">
        <f>+'C6 AVIACION AGRICOLA'!EQ15/'C6 AVIACION AGRICOLA'!EQ18</f>
        <v>#DIV/0!</v>
      </c>
      <c r="ER11" s="37" t="e">
        <f>+'C6 AVIACION AGRICOLA'!ER15/'C6 AVIACION AGRICOLA'!ER18</f>
        <v>#DIV/0!</v>
      </c>
      <c r="ES11" s="37" t="e">
        <f>+'C6 AVIACION AGRICOLA'!ES15/'C6 AVIACION AGRICOLA'!ES18</f>
        <v>#DIV/0!</v>
      </c>
      <c r="ET11" s="142">
        <f>+'C6 AVIACION AGRICOLA'!ET15/'C6 AVIACION AGRICOLA'!ET18</f>
        <v>1</v>
      </c>
      <c r="EU11" s="142">
        <f>+'C6 AVIACION AGRICOLA'!EU15/'C6 AVIACION AGRICOLA'!EU18</f>
        <v>0.5857794374215666</v>
      </c>
      <c r="EV11" s="37">
        <f>+'C6 AVIACION AGRICOLA'!EV15/'C6 AVIACION AGRICOLA'!EV18</f>
        <v>0.3972679212090649</v>
      </c>
      <c r="EW11" s="37">
        <f>+'C6 AVIACION AGRICOLA'!EW15/'C6 AVIACION AGRICOLA'!EW18</f>
        <v>1</v>
      </c>
      <c r="EX11" s="142">
        <f>+'C6 AVIACION AGRICOLA'!EX15/'C6 AVIACION AGRICOLA'!EX18</f>
        <v>1</v>
      </c>
      <c r="EY11" s="142">
        <f>+'C6 AVIACION AGRICOLA'!EY15/'C6 AVIACION AGRICOLA'!EY18</f>
        <v>0.9682764033055011</v>
      </c>
      <c r="EZ11" s="37" t="e">
        <f>+'C6 AVIACION AGRICOLA'!EZ15/'C6 AVIACION AGRICOLA'!EZ18</f>
        <v>#DIV/0!</v>
      </c>
      <c r="FA11" s="37">
        <f>+'C6 AVIACION AGRICOLA'!FA15/'C6 AVIACION AGRICOLA'!FA18</f>
        <v>1</v>
      </c>
      <c r="FB11" s="142">
        <f>+'C6 AVIACION AGRICOLA'!FB15/'C6 AVIACION AGRICOLA'!FB18</f>
        <v>1</v>
      </c>
      <c r="FC11" s="142" t="e">
        <f>+'C6 AVIACION AGRICOLA'!FC15/'C6 AVIACION AGRICOLA'!FC18</f>
        <v>#DIV/0!</v>
      </c>
      <c r="FD11" s="37">
        <f>+'C6 AVIACION AGRICOLA'!FD15/'C6 AVIACION AGRICOLA'!FD18</f>
        <v>1</v>
      </c>
      <c r="FE11" s="37" t="e">
        <f>+'C6 AVIACION AGRICOLA'!FE15/'C6 AVIACION AGRICOLA'!FE18</f>
        <v>#DIV/0!</v>
      </c>
      <c r="FF11" s="144" t="e">
        <f>+'C6 AVIACION AGRICOLA'!FF15/'C6 AVIACION AGRICOLA'!FF18</f>
        <v>#DIV/0!</v>
      </c>
      <c r="FG11" s="142" t="e">
        <f>+'C6 AVIACION AGRICOLA'!FG15/'C6 AVIACION AGRICOLA'!FG18</f>
        <v>#DIV/0!</v>
      </c>
      <c r="FH11" s="37">
        <f>+'C6 AVIACION AGRICOLA'!FH15/'C6 AVIACION AGRICOLA'!FH18</f>
        <v>1</v>
      </c>
      <c r="FI11" s="37" t="e">
        <f>+'C6 AVIACION AGRICOLA'!FI15/'C6 AVIACION AGRICOLA'!FI18</f>
        <v>#DIV/0!</v>
      </c>
      <c r="FJ11" s="142" t="e">
        <f>+'C6 AVIACION AGRICOLA'!FJ15/'C6 AVIACION AGRICOLA'!FJ18</f>
        <v>#DIV/0!</v>
      </c>
      <c r="FK11" s="142">
        <f>+'C6 AVIACION AGRICOLA'!FK15/'C6 AVIACION AGRICOLA'!FK18</f>
        <v>1</v>
      </c>
      <c r="FL11" s="37" t="e">
        <f>+'C6 AVIACION AGRICOLA'!FL15/'C6 AVIACION AGRICOLA'!FL18</f>
        <v>#DIV/0!</v>
      </c>
      <c r="FM11" s="37" t="e">
        <f>+'C6 AVIACION AGRICOLA'!FM15/'C6 AVIACION AGRICOLA'!FM18</f>
        <v>#DIV/0!</v>
      </c>
      <c r="FN11" s="142" t="e">
        <f>+'C6 AVIACION AGRICOLA'!FN15/'C6 AVIACION AGRICOLA'!FN18</f>
        <v>#DIV/0!</v>
      </c>
      <c r="FO11" s="142">
        <f>+'C6 AVIACION AGRICOLA'!FO15/'C6 AVIACION AGRICOLA'!FO18</f>
        <v>1</v>
      </c>
    </row>
    <row r="12" spans="1:171" ht="12.75">
      <c r="A12" s="41" t="s">
        <v>44</v>
      </c>
      <c r="B12" s="36">
        <f>'C6 AVIACION AGRICOLA'!B18/'C6 AVIACION AGRICOLA'!B24</f>
        <v>0.5617332777658431</v>
      </c>
      <c r="C12" s="36">
        <f>'C6 AVIACION AGRICOLA'!C18/'C6 AVIACION AGRICOLA'!C24</f>
        <v>1.045294553887377</v>
      </c>
      <c r="D12" s="141">
        <f>'C6 AVIACION AGRICOLA'!D18/'C6 AVIACION AGRICOLA'!D24</f>
        <v>0.6470980281024682</v>
      </c>
      <c r="E12" s="141">
        <f>'C6 AVIACION AGRICOLA'!E18/'C6 AVIACION AGRICOLA'!E24</f>
        <v>0.6284741481690288</v>
      </c>
      <c r="F12" s="36">
        <f>'C6 AVIACION AGRICOLA'!F18/'C6 AVIACION AGRICOLA'!F24</f>
        <v>0.3345733168277152</v>
      </c>
      <c r="G12" s="36">
        <f>'C6 AVIACION AGRICOLA'!G18/'C6 AVIACION AGRICOLA'!G24</f>
        <v>0.379366737055241</v>
      </c>
      <c r="H12" s="141">
        <f>'C6 AVIACION AGRICOLA'!H18/'C6 AVIACION AGRICOLA'!H24</f>
        <v>0.1749640678119712</v>
      </c>
      <c r="I12" s="141">
        <f>'C6 AVIACION AGRICOLA'!I18/'C6 AVIACION AGRICOLA'!I24</f>
        <v>0.23321189313887902</v>
      </c>
      <c r="J12" s="36" t="e">
        <f>'C6 AVIACION AGRICOLA'!J18/'C6 AVIACION AGRICOLA'!J24</f>
        <v>#DIV/0!</v>
      </c>
      <c r="K12" s="36">
        <f>'C6 AVIACION AGRICOLA'!K18/'C6 AVIACION AGRICOLA'!K24</f>
        <v>3.0572950871595377</v>
      </c>
      <c r="L12" s="141">
        <f>'C6 AVIACION AGRICOLA'!L18/'C6 AVIACION AGRICOLA'!L24</f>
        <v>1.9067410329031058</v>
      </c>
      <c r="M12" s="141" t="e">
        <f>'C6 AVIACION AGRICOLA'!M18/'C6 AVIACION AGRICOLA'!M24</f>
        <v>#DIV/0!</v>
      </c>
      <c r="N12" s="36" t="e">
        <f>'C6 AVIACION AGRICOLA'!N18/'C6 AVIACION AGRICOLA'!N24</f>
        <v>#DIV/0!</v>
      </c>
      <c r="O12" s="36">
        <f>'C6 AVIACION AGRICOLA'!O18/'C6 AVIACION AGRICOLA'!O24</f>
        <v>3.3670224307998784</v>
      </c>
      <c r="P12" s="141">
        <f>'C6 AVIACION AGRICOLA'!P18/'C6 AVIACION AGRICOLA'!P24</f>
        <v>2.437353457896423</v>
      </c>
      <c r="Q12" s="141">
        <f>'C6 AVIACION AGRICOLA'!Q18/'C6 AVIACION AGRICOLA'!Q24</f>
        <v>4.581841848356655</v>
      </c>
      <c r="R12" s="36">
        <f>'C6 AVIACION AGRICOLA'!R18/'C6 AVIACION AGRICOLA'!R24</f>
        <v>0.4427167058241622</v>
      </c>
      <c r="S12" s="36">
        <f>'C6 AVIACION AGRICOLA'!S18/'C6 AVIACION AGRICOLA'!S24</f>
        <v>0.2961452292125247</v>
      </c>
      <c r="T12" s="141">
        <f>'C6 AVIACION AGRICOLA'!T18/'C6 AVIACION AGRICOLA'!T24</f>
        <v>2.121683896644775</v>
      </c>
      <c r="U12" s="141">
        <f>'C6 AVIACION AGRICOLA'!U18/'C6 AVIACION AGRICOLA'!U24</f>
        <v>4.10787374832928</v>
      </c>
      <c r="V12" s="36" t="e">
        <f>'C6 AVIACION AGRICOLA'!V18/'C6 AVIACION AGRICOLA'!V24</f>
        <v>#DIV/0!</v>
      </c>
      <c r="W12" s="36">
        <f>'C6 AVIACION AGRICOLA'!W18/'C6 AVIACION AGRICOLA'!W24</f>
        <v>1.7572251029703387</v>
      </c>
      <c r="X12" s="141">
        <f>'C6 AVIACION AGRICOLA'!X18/'C6 AVIACION AGRICOLA'!X24</f>
        <v>1.5747532712857049</v>
      </c>
      <c r="Y12" s="141">
        <f>'C6 AVIACION AGRICOLA'!Y18/'C6 AVIACION AGRICOLA'!Y24</f>
        <v>1.595946390628932</v>
      </c>
      <c r="Z12" s="36">
        <f>'C6 AVIACION AGRICOLA'!Z18/'C6 AVIACION AGRICOLA'!Z24</f>
        <v>3.008117461543198</v>
      </c>
      <c r="AA12" s="36" t="e">
        <f>'C6 AVIACION AGRICOLA'!AA18/'C6 AVIACION AGRICOLA'!AA24</f>
        <v>#DIV/0!</v>
      </c>
      <c r="AB12" s="141">
        <f>'C6 AVIACION AGRICOLA'!AB18/'C6 AVIACION AGRICOLA'!AB24</f>
        <v>1.9610476442157037</v>
      </c>
      <c r="AC12" s="36" t="e">
        <f>'C6 AVIACION AGRICOLA'!AC18/'C6 AVIACION AGRICOLA'!AC24</f>
        <v>#DIV/0!</v>
      </c>
      <c r="AD12" s="36" t="e">
        <f>'C6 AVIACION AGRICOLA'!AD18/'C6 AVIACION AGRICOLA'!AD24</f>
        <v>#DIV/0!</v>
      </c>
      <c r="AE12" s="141" t="e">
        <f>'C6 AVIACION AGRICOLA'!AE18/'C6 AVIACION AGRICOLA'!AE24</f>
        <v>#DIV/0!</v>
      </c>
      <c r="AF12" s="141">
        <f>'C6 AVIACION AGRICOLA'!AF18/'C6 AVIACION AGRICOLA'!AF24</f>
        <v>1.8130561964117302</v>
      </c>
      <c r="AG12" s="36">
        <f>'C6 AVIACION AGRICOLA'!AG18/'C6 AVIACION AGRICOLA'!AG24</f>
        <v>0.9041491518400172</v>
      </c>
      <c r="AH12" s="36">
        <f>'C6 AVIACION AGRICOLA'!AH18/'C6 AVIACION AGRICOLA'!AH24</f>
        <v>1.3449171801889601</v>
      </c>
      <c r="AI12" s="141">
        <f>'C6 AVIACION AGRICOLA'!AI18/'C6 AVIACION AGRICOLA'!AI24</f>
        <v>1.077075619021309</v>
      </c>
      <c r="AJ12" s="141">
        <f>'C6 AVIACION AGRICOLA'!AJ18/'C6 AVIACION AGRICOLA'!AJ24</f>
        <v>0.3913320760561584</v>
      </c>
      <c r="AK12" s="36" t="e">
        <f>'C6 AVIACION AGRICOLA'!AK18/'C6 AVIACION AGRICOLA'!AK24</f>
        <v>#DIV/0!</v>
      </c>
      <c r="AL12" s="36" t="e">
        <f>'C6 AVIACION AGRICOLA'!AL18/'C6 AVIACION AGRICOLA'!AL24</f>
        <v>#DIV/0!</v>
      </c>
      <c r="AM12" s="141" t="e">
        <f>'C6 AVIACION AGRICOLA'!AM18/'C6 AVIACION AGRICOLA'!AM24</f>
        <v>#DIV/0!</v>
      </c>
      <c r="AN12" s="141" t="e">
        <f>'C6 AVIACION AGRICOLA'!AN18/'C6 AVIACION AGRICOLA'!AN24</f>
        <v>#DIV/0!</v>
      </c>
      <c r="AO12" s="36" t="e">
        <f>'C6 AVIACION AGRICOLA'!AO18/'C6 AVIACION AGRICOLA'!AO24</f>
        <v>#DIV/0!</v>
      </c>
      <c r="AP12" s="36" t="e">
        <f>'C6 AVIACION AGRICOLA'!AP18/'C6 AVIACION AGRICOLA'!AP24</f>
        <v>#DIV/0!</v>
      </c>
      <c r="AQ12" s="141">
        <f>'C6 AVIACION AGRICOLA'!AQ18/'C6 AVIACION AGRICOLA'!AQ24</f>
        <v>1.090016468806831</v>
      </c>
      <c r="AR12" s="141">
        <f>'C6 AVIACION AGRICOLA'!AR18/'C6 AVIACION AGRICOLA'!AR24</f>
        <v>1.1176584793896849</v>
      </c>
      <c r="AS12" s="36">
        <f>'C6 AVIACION AGRICOLA'!AS18/'C6 AVIACION AGRICOLA'!AS24</f>
        <v>1.3535609966245805</v>
      </c>
      <c r="AT12" s="36">
        <f>'C6 AVIACION AGRICOLA'!AT18/'C6 AVIACION AGRICOLA'!AT24</f>
        <v>1.089935876976643</v>
      </c>
      <c r="AU12" s="141">
        <f>'C6 AVIACION AGRICOLA'!AU18/'C6 AVIACION AGRICOLA'!AU24</f>
        <v>0.2036707219728149</v>
      </c>
      <c r="AV12" s="141">
        <f>'C6 AVIACION AGRICOLA'!AV18/'C6 AVIACION AGRICOLA'!AV24</f>
        <v>3.7659065636316447</v>
      </c>
      <c r="AW12" s="36" t="e">
        <f>'C6 AVIACION AGRICOLA'!AW18/'C6 AVIACION AGRICOLA'!AW24</f>
        <v>#DIV/0!</v>
      </c>
      <c r="AX12" s="36">
        <f>'C6 AVIACION AGRICOLA'!AX18/'C6 AVIACION AGRICOLA'!AX24</f>
        <v>3.013444598980065</v>
      </c>
      <c r="AY12" s="141">
        <f>'C6 AVIACION AGRICOLA'!AY18/'C6 AVIACION AGRICOLA'!AY24</f>
        <v>30.897435897435898</v>
      </c>
      <c r="AZ12" s="141">
        <f>'C6 AVIACION AGRICOLA'!AZ18/'C6 AVIACION AGRICOLA'!AZ24</f>
        <v>4.563290154864799</v>
      </c>
      <c r="BA12" s="36">
        <f>'C6 AVIACION AGRICOLA'!BA18/'C6 AVIACION AGRICOLA'!BA24</f>
        <v>0.15626803344662207</v>
      </c>
      <c r="BB12" s="36">
        <f>'C6 AVIACION AGRICOLA'!BB18/'C6 AVIACION AGRICOLA'!BB24</f>
        <v>2.379378406064405</v>
      </c>
      <c r="BC12" s="141">
        <f>'C6 AVIACION AGRICOLA'!BC18/'C6 AVIACION AGRICOLA'!BC24</f>
        <v>0.7358747464154406</v>
      </c>
      <c r="BD12" s="141">
        <f>'C6 AVIACION AGRICOLA'!BD18/'C6 AVIACION AGRICOLA'!BD24</f>
        <v>0.6712263205912208</v>
      </c>
      <c r="BE12" s="36" t="e">
        <f>'C6 AVIACION AGRICOLA'!BE18/'C6 AVIACION AGRICOLA'!BE24</f>
        <v>#DIV/0!</v>
      </c>
      <c r="BF12" s="36">
        <f>'C6 AVIACION AGRICOLA'!BF18/'C6 AVIACION AGRICOLA'!BF24</f>
        <v>0.8409925690858568</v>
      </c>
      <c r="BG12" s="141">
        <f>'C6 AVIACION AGRICOLA'!BG18/'C6 AVIACION AGRICOLA'!BG24</f>
        <v>0.2520708523050794</v>
      </c>
      <c r="BH12" s="141">
        <f>'C6 AVIACION AGRICOLA'!BH18/'C6 AVIACION AGRICOLA'!BH24</f>
        <v>0.5247107522959445</v>
      </c>
      <c r="BI12" s="36" t="e">
        <f>'C6 AVIACION AGRICOLA'!BI18/'C6 AVIACION AGRICOLA'!BI24</f>
        <v>#DIV/0!</v>
      </c>
      <c r="BJ12" s="36">
        <f>'C6 AVIACION AGRICOLA'!BJ18/'C6 AVIACION AGRICOLA'!BJ24</f>
        <v>0</v>
      </c>
      <c r="BK12" s="141">
        <f>'C6 AVIACION AGRICOLA'!BK18/'C6 AVIACION AGRICOLA'!BK24</f>
        <v>0.09704577379290459</v>
      </c>
      <c r="BL12" s="141">
        <f>'C6 AVIACION AGRICOLA'!BL18/'C6 AVIACION AGRICOLA'!BL24</f>
        <v>0.1803340213923813</v>
      </c>
      <c r="BM12" s="36">
        <f>'C6 AVIACION AGRICOLA'!BM18/'C6 AVIACION AGRICOLA'!BM24</f>
        <v>5.461968876589957</v>
      </c>
      <c r="BN12" s="36">
        <f>'C6 AVIACION AGRICOLA'!BN18/'C6 AVIACION AGRICOLA'!BN24</f>
        <v>0.6278078705684866</v>
      </c>
      <c r="BO12" s="141">
        <f>'C6 AVIACION AGRICOLA'!BO18/'C6 AVIACION AGRICOLA'!BO24</f>
        <v>0.528063248092457</v>
      </c>
      <c r="BP12" s="141">
        <f>'C6 AVIACION AGRICOLA'!BP18/'C6 AVIACION AGRICOLA'!BP24</f>
        <v>0.5285972741548066</v>
      </c>
      <c r="BQ12" s="36" t="e">
        <f>'C6 AVIACION AGRICOLA'!BQ18/'C6 AVIACION AGRICOLA'!BQ24</f>
        <v>#DIV/0!</v>
      </c>
      <c r="BR12" s="36" t="e">
        <f>'C6 AVIACION AGRICOLA'!BR18/'C6 AVIACION AGRICOLA'!BR24</f>
        <v>#DIV/0!</v>
      </c>
      <c r="BS12" s="141">
        <f>'C6 AVIACION AGRICOLA'!BS18/'C6 AVIACION AGRICOLA'!BS24</f>
        <v>2.162822504390112</v>
      </c>
      <c r="BT12" s="141">
        <f>'C6 AVIACION AGRICOLA'!BT18/'C6 AVIACION AGRICOLA'!BT24</f>
        <v>0.8558431549813448</v>
      </c>
      <c r="BU12" s="36">
        <f>'C6 AVIACION AGRICOLA'!BU18/'C6 AVIACION AGRICOLA'!BU24</f>
        <v>0.02668346156444547</v>
      </c>
      <c r="BV12" s="36">
        <f>'C6 AVIACION AGRICOLA'!BV18/'C6 AVIACION AGRICOLA'!BV24</f>
        <v>0.02162917681375826</v>
      </c>
      <c r="BW12" s="141">
        <f>'C6 AVIACION AGRICOLA'!BW18/'C6 AVIACION AGRICOLA'!BW24</f>
        <v>0.017561566943799217</v>
      </c>
      <c r="BX12" s="141">
        <f>'C6 AVIACION AGRICOLA'!BX18/'C6 AVIACION AGRICOLA'!BX24</f>
        <v>0.023539452886283996</v>
      </c>
      <c r="BY12" s="36">
        <f>'C6 AVIACION AGRICOLA'!BY18/'C6 AVIACION AGRICOLA'!BY24</f>
        <v>0.4251952812511636</v>
      </c>
      <c r="BZ12" s="36">
        <f>'C6 AVIACION AGRICOLA'!BZ18/'C6 AVIACION AGRICOLA'!BZ24</f>
        <v>0.3900515254129135</v>
      </c>
      <c r="CA12" s="141">
        <f>'C6 AVIACION AGRICOLA'!CA18/'C6 AVIACION AGRICOLA'!CA24</f>
        <v>0.26189146245814293</v>
      </c>
      <c r="CB12" s="141">
        <f>'C6 AVIACION AGRICOLA'!CB18/'C6 AVIACION AGRICOLA'!CB24</f>
        <v>0.3753960061225216</v>
      </c>
      <c r="CC12" s="36" t="e">
        <f>'C6 AVIACION AGRICOLA'!CC18/'C6 AVIACION AGRICOLA'!CC24</f>
        <v>#DIV/0!</v>
      </c>
      <c r="CD12" s="36" t="e">
        <f>'C6 AVIACION AGRICOLA'!CD18/'C6 AVIACION AGRICOLA'!CD24</f>
        <v>#DIV/0!</v>
      </c>
      <c r="CE12" s="141">
        <f>'C6 AVIACION AGRICOLA'!CE18/'C6 AVIACION AGRICOLA'!CE24</f>
        <v>0.11468710457874627</v>
      </c>
      <c r="CF12" s="141" t="e">
        <f>'C6 AVIACION AGRICOLA'!CF18/'C6 AVIACION AGRICOLA'!CF24</f>
        <v>#DIV/0!</v>
      </c>
      <c r="CG12" s="36">
        <f>'C6 AVIACION AGRICOLA'!CG18/'C6 AVIACION AGRICOLA'!CG24</f>
        <v>0.20358064243615898</v>
      </c>
      <c r="CH12" s="36">
        <f>'C6 AVIACION AGRICOLA'!CH18/'C6 AVIACION AGRICOLA'!CH24</f>
        <v>0.33527365763786765</v>
      </c>
      <c r="CI12" s="141">
        <f>'C6 AVIACION AGRICOLA'!CI18/'C6 AVIACION AGRICOLA'!CI24</f>
        <v>0.362414058973189</v>
      </c>
      <c r="CJ12" s="141">
        <f>'C6 AVIACION AGRICOLA'!CJ18/'C6 AVIACION AGRICOLA'!CJ24</f>
        <v>0.2889047965996206</v>
      </c>
      <c r="CK12" s="36" t="e">
        <f>'C6 AVIACION AGRICOLA'!CK18/'C6 AVIACION AGRICOLA'!CK24</f>
        <v>#DIV/0!</v>
      </c>
      <c r="CL12" s="36">
        <f>'C6 AVIACION AGRICOLA'!CL18/'C6 AVIACION AGRICOLA'!CL24</f>
        <v>0.8860582308530067</v>
      </c>
      <c r="CM12" s="141">
        <f>'C6 AVIACION AGRICOLA'!CM18/'C6 AVIACION AGRICOLA'!CM24</f>
        <v>1.0365998270209347</v>
      </c>
      <c r="CN12" s="141">
        <f>'C6 AVIACION AGRICOLA'!CN18/'C6 AVIACION AGRICOLA'!CN24</f>
        <v>0.5474608294599818</v>
      </c>
      <c r="CO12" s="36" t="e">
        <f>'C6 AVIACION AGRICOLA'!CO18/'C6 AVIACION AGRICOLA'!CO24</f>
        <v>#DIV/0!</v>
      </c>
      <c r="CP12" s="36">
        <f>'C6 AVIACION AGRICOLA'!CP18/'C6 AVIACION AGRICOLA'!CP24</f>
        <v>0.2579902086947121</v>
      </c>
      <c r="CQ12" s="141" t="e">
        <f>'C6 AVIACION AGRICOLA'!CQ18/'C6 AVIACION AGRICOLA'!CQ24</f>
        <v>#DIV/0!</v>
      </c>
      <c r="CR12" s="36" t="e">
        <f>'C6 AVIACION AGRICOLA'!CR18/'C6 AVIACION AGRICOLA'!CR24</f>
        <v>#DIV/0!</v>
      </c>
      <c r="CS12" s="36" t="e">
        <f>'C6 AVIACION AGRICOLA'!CS18/'C6 AVIACION AGRICOLA'!CS24</f>
        <v>#DIV/0!</v>
      </c>
      <c r="CT12" s="141" t="e">
        <f>'C6 AVIACION AGRICOLA'!CT18/'C6 AVIACION AGRICOLA'!CT24</f>
        <v>#DIV/0!</v>
      </c>
      <c r="CU12" s="141">
        <f>'C6 AVIACION AGRICOLA'!CU18/'C6 AVIACION AGRICOLA'!CU24</f>
        <v>1.790260128569293</v>
      </c>
      <c r="CV12" s="36">
        <f>'C6 AVIACION AGRICOLA'!CV18/'C6 AVIACION AGRICOLA'!CV24</f>
        <v>2.602019933086501</v>
      </c>
      <c r="CW12" s="36">
        <f>'C6 AVIACION AGRICOLA'!CW18/'C6 AVIACION AGRICOLA'!CW24</f>
        <v>2.7446916047500824</v>
      </c>
      <c r="CX12" s="141">
        <f>'C6 AVIACION AGRICOLA'!CX18/'C6 AVIACION AGRICOLA'!CX24</f>
        <v>1.2233952749367014</v>
      </c>
      <c r="CY12" s="141">
        <f>'C6 AVIACION AGRICOLA'!CY18/'C6 AVIACION AGRICOLA'!CY24</f>
        <v>0.0024187448053019384</v>
      </c>
      <c r="CZ12" s="36" t="e">
        <f>'C6 AVIACION AGRICOLA'!CZ18/'C6 AVIACION AGRICOLA'!CZ24</f>
        <v>#DIV/0!</v>
      </c>
      <c r="DA12" s="36">
        <f>'C6 AVIACION AGRICOLA'!DA18/'C6 AVIACION AGRICOLA'!DA24</f>
        <v>0.5182630585273758</v>
      </c>
      <c r="DB12" s="141">
        <f>'C6 AVIACION AGRICOLA'!DB18/'C6 AVIACION AGRICOLA'!DB24</f>
        <v>0.06299150199117531</v>
      </c>
      <c r="DC12" s="141">
        <f>'C6 AVIACION AGRICOLA'!DC18/'C6 AVIACION AGRICOLA'!DC24</f>
        <v>0.18375174891885016</v>
      </c>
      <c r="DD12" s="36">
        <f>'C6 AVIACION AGRICOLA'!DD18/'C6 AVIACION AGRICOLA'!DD24</f>
        <v>0.49459867248698713</v>
      </c>
      <c r="DE12" s="36">
        <f>'C6 AVIACION AGRICOLA'!DE18/'C6 AVIACION AGRICOLA'!DE24</f>
        <v>0.3794859291876998</v>
      </c>
      <c r="DF12" s="141">
        <f>'C6 AVIACION AGRICOLA'!DF18/'C6 AVIACION AGRICOLA'!DF24</f>
        <v>0.5797608550392889</v>
      </c>
      <c r="DG12" s="141">
        <f>'C6 AVIACION AGRICOLA'!DG18/'C6 AVIACION AGRICOLA'!DG24</f>
        <v>0.45897342317682815</v>
      </c>
      <c r="DH12" s="36" t="e">
        <f>'C6 AVIACION AGRICOLA'!DH18/'C6 AVIACION AGRICOLA'!DH24</f>
        <v>#DIV/0!</v>
      </c>
      <c r="DI12" s="36" t="e">
        <f>'C6 AVIACION AGRICOLA'!DI18/'C6 AVIACION AGRICOLA'!DI24</f>
        <v>#DIV/0!</v>
      </c>
      <c r="DJ12" s="141" t="e">
        <f>'C6 AVIACION AGRICOLA'!DJ18/'C6 AVIACION AGRICOLA'!DJ24</f>
        <v>#DIV/0!</v>
      </c>
      <c r="DK12" s="141" t="e">
        <f>'C6 AVIACION AGRICOLA'!DK18/'C6 AVIACION AGRICOLA'!DK24</f>
        <v>#DIV/0!</v>
      </c>
      <c r="DL12" s="36">
        <f>'C6 AVIACION AGRICOLA'!DL18/'C6 AVIACION AGRICOLA'!DL24</f>
        <v>0.4493543212227189</v>
      </c>
      <c r="DM12" s="36" t="e">
        <f>'C6 AVIACION AGRICOLA'!DM18/'C6 AVIACION AGRICOLA'!DM24</f>
        <v>#DIV/0!</v>
      </c>
      <c r="DN12" s="141" t="e">
        <f>'C6 AVIACION AGRICOLA'!DN18/'C6 AVIACION AGRICOLA'!DN24</f>
        <v>#DIV/0!</v>
      </c>
      <c r="DO12" s="141" t="e">
        <f>'C6 AVIACION AGRICOLA'!DO18/'C6 AVIACION AGRICOLA'!DO24</f>
        <v>#DIV/0!</v>
      </c>
      <c r="DP12" s="36" t="e">
        <f>'C6 AVIACION AGRICOLA'!DP18/'C6 AVIACION AGRICOLA'!DP24</f>
        <v>#DIV/0!</v>
      </c>
      <c r="DQ12" s="36">
        <f>'C6 AVIACION AGRICOLA'!DQ18/'C6 AVIACION AGRICOLA'!DQ24</f>
        <v>0.2785668373799996</v>
      </c>
      <c r="DR12" s="141">
        <f>'C6 AVIACION AGRICOLA'!DR18/'C6 AVIACION AGRICOLA'!DR24</f>
        <v>0.2664723339239691</v>
      </c>
      <c r="DS12" s="141">
        <f>'C6 AVIACION AGRICOLA'!DS18/'C6 AVIACION AGRICOLA'!DS24</f>
        <v>0</v>
      </c>
      <c r="DT12" s="36" t="e">
        <f>'C6 AVIACION AGRICOLA'!DT18/'C6 AVIACION AGRICOLA'!DT24</f>
        <v>#DIV/0!</v>
      </c>
      <c r="DU12" s="36">
        <f>'C6 AVIACION AGRICOLA'!DU18/'C6 AVIACION AGRICOLA'!DU24</f>
        <v>1.94303545923473</v>
      </c>
      <c r="DV12" s="141">
        <f>'C6 AVIACION AGRICOLA'!DV18/'C6 AVIACION AGRICOLA'!DV24</f>
        <v>0.9524014020687663</v>
      </c>
      <c r="DW12" s="141" t="e">
        <f>'C6 AVIACION AGRICOLA'!DW18/'C6 AVIACION AGRICOLA'!DW24</f>
        <v>#DIV/0!</v>
      </c>
      <c r="DX12" s="36" t="e">
        <f>'C6 AVIACION AGRICOLA'!DX18/'C6 AVIACION AGRICOLA'!DX24</f>
        <v>#DIV/0!</v>
      </c>
      <c r="DY12" s="36">
        <f>'C6 AVIACION AGRICOLA'!DY18/'C6 AVIACION AGRICOLA'!DY24</f>
        <v>0.26865095288649177</v>
      </c>
      <c r="DZ12" s="141">
        <f>'C6 AVIACION AGRICOLA'!DZ18/'C6 AVIACION AGRICOLA'!DZ24</f>
        <v>0.5332165649876065</v>
      </c>
      <c r="EA12" s="141">
        <f>'C6 AVIACION AGRICOLA'!EA18/'C6 AVIACION AGRICOLA'!EA24</f>
        <v>0.41511022419007826</v>
      </c>
      <c r="EB12" s="36" t="e">
        <f>'C6 AVIACION AGRICOLA'!EB18/'C6 AVIACION AGRICOLA'!EB24</f>
        <v>#DIV/0!</v>
      </c>
      <c r="EC12" s="36">
        <f>'C6 AVIACION AGRICOLA'!EC18/'C6 AVIACION AGRICOLA'!EC24</f>
        <v>1.6842079299770685</v>
      </c>
      <c r="ED12" s="141">
        <f>'C6 AVIACION AGRICOLA'!ED18/'C6 AVIACION AGRICOLA'!ED24</f>
        <v>1.7004271120402372</v>
      </c>
      <c r="EE12" s="141">
        <f>'C6 AVIACION AGRICOLA'!EE18/'C6 AVIACION AGRICOLA'!EE24</f>
        <v>1.7306297342405956</v>
      </c>
      <c r="EF12" s="36">
        <f>'C6 AVIACION AGRICOLA'!EF18/'C6 AVIACION AGRICOLA'!EF24</f>
        <v>0.5594572183097228</v>
      </c>
      <c r="EG12" s="36">
        <f>'C6 AVIACION AGRICOLA'!EG18/'C6 AVIACION AGRICOLA'!EG24</f>
        <v>0.811771952190957</v>
      </c>
      <c r="EH12" s="141">
        <f>'C6 AVIACION AGRICOLA'!EH18/'C6 AVIACION AGRICOLA'!EH24</f>
        <v>0.9587261949198708</v>
      </c>
      <c r="EI12" s="141">
        <f>'C6 AVIACION AGRICOLA'!EI18/'C6 AVIACION AGRICOLA'!EI24</f>
        <v>0.9205298720608058</v>
      </c>
      <c r="EJ12" s="36">
        <f>'C6 AVIACION AGRICOLA'!EJ18/'C6 AVIACION AGRICOLA'!EJ24</f>
        <v>0.2720637899519832</v>
      </c>
      <c r="EK12" s="36">
        <f>'C6 AVIACION AGRICOLA'!EK18/'C6 AVIACION AGRICOLA'!EK24</f>
        <v>0.19337464848672717</v>
      </c>
      <c r="EL12" s="141">
        <f>'C6 AVIACION AGRICOLA'!EL18/'C6 AVIACION AGRICOLA'!EL24</f>
        <v>0.13575953238925464</v>
      </c>
      <c r="EM12" s="141">
        <f>'C6 AVIACION AGRICOLA'!EM18/'C6 AVIACION AGRICOLA'!EM24</f>
        <v>0.2431232564417914</v>
      </c>
      <c r="EN12" s="36">
        <f>'C6 AVIACION AGRICOLA'!EN18/'C6 AVIACION AGRICOLA'!EN24</f>
        <v>1.2768907269546566</v>
      </c>
      <c r="EO12" s="36">
        <f>'C6 AVIACION AGRICOLA'!EO18/'C6 AVIACION AGRICOLA'!EO24</f>
        <v>1.3533258136532995</v>
      </c>
      <c r="EP12" s="141">
        <f>'C6 AVIACION AGRICOLA'!EP18/'C6 AVIACION AGRICOLA'!EP24</f>
        <v>1.3597583098031392</v>
      </c>
      <c r="EQ12" s="141" t="e">
        <f>'C6 AVIACION AGRICOLA'!EQ18/'C6 AVIACION AGRICOLA'!EQ24</f>
        <v>#DIV/0!</v>
      </c>
      <c r="ER12" s="36" t="e">
        <f>'C6 AVIACION AGRICOLA'!ER18/'C6 AVIACION AGRICOLA'!ER24</f>
        <v>#DIV/0!</v>
      </c>
      <c r="ES12" s="36" t="e">
        <f>'C6 AVIACION AGRICOLA'!ES18/'C6 AVIACION AGRICOLA'!ES24</f>
        <v>#DIV/0!</v>
      </c>
      <c r="ET12" s="141">
        <f>'C6 AVIACION AGRICOLA'!ET18/'C6 AVIACION AGRICOLA'!ET24</f>
        <v>0.2799229312991302</v>
      </c>
      <c r="EU12" s="141">
        <f>'C6 AVIACION AGRICOLA'!EU18/'C6 AVIACION AGRICOLA'!EU24</f>
        <v>1.3171665860345105</v>
      </c>
      <c r="EV12" s="36">
        <f>'C6 AVIACION AGRICOLA'!EV18/'C6 AVIACION AGRICOLA'!EV24</f>
        <v>1.4767462095485246</v>
      </c>
      <c r="EW12" s="36">
        <f>'C6 AVIACION AGRICOLA'!EW18/'C6 AVIACION AGRICOLA'!EW24</f>
        <v>1.123904202177284</v>
      </c>
      <c r="EX12" s="141">
        <f>'C6 AVIACION AGRICOLA'!EX18/'C6 AVIACION AGRICOLA'!EX24</f>
        <v>1.8034856630348832</v>
      </c>
      <c r="EY12" s="141">
        <f>'C6 AVIACION AGRICOLA'!EY18/'C6 AVIACION AGRICOLA'!EY24</f>
        <v>1.8075401656380452</v>
      </c>
      <c r="EZ12" s="36" t="e">
        <f>'C6 AVIACION AGRICOLA'!EZ18/'C6 AVIACION AGRICOLA'!EZ24</f>
        <v>#DIV/0!</v>
      </c>
      <c r="FA12" s="36">
        <f>'C6 AVIACION AGRICOLA'!FA18/'C6 AVIACION AGRICOLA'!FA24</f>
        <v>0.805235584583307</v>
      </c>
      <c r="FB12" s="141">
        <f>'C6 AVIACION AGRICOLA'!FB18/'C6 AVIACION AGRICOLA'!FB24</f>
        <v>1.0355195614209651</v>
      </c>
      <c r="FC12" s="141" t="e">
        <f>'C6 AVIACION AGRICOLA'!FC18/'C6 AVIACION AGRICOLA'!FC24</f>
        <v>#DIV/0!</v>
      </c>
      <c r="FD12" s="36">
        <f>'C6 AVIACION AGRICOLA'!FD18/'C6 AVIACION AGRICOLA'!FD24</f>
        <v>0.4499566958969362</v>
      </c>
      <c r="FE12" s="36" t="e">
        <f>'C6 AVIACION AGRICOLA'!FE18/'C6 AVIACION AGRICOLA'!FE24</f>
        <v>#DIV/0!</v>
      </c>
      <c r="FF12" s="143">
        <f>'C6 AVIACION AGRICOLA'!FF18/'C6 AVIACION AGRICOLA'!FF24</f>
        <v>0</v>
      </c>
      <c r="FG12" s="141" t="e">
        <f>'C6 AVIACION AGRICOLA'!FG18/'C6 AVIACION AGRICOLA'!FG24</f>
        <v>#DIV/0!</v>
      </c>
      <c r="FH12" s="36">
        <f>'C6 AVIACION AGRICOLA'!FH18/'C6 AVIACION AGRICOLA'!FH24</f>
        <v>1.6061211776548683</v>
      </c>
      <c r="FI12" s="36" t="e">
        <f>'C6 AVIACION AGRICOLA'!FI18/'C6 AVIACION AGRICOLA'!FI24</f>
        <v>#DIV/0!</v>
      </c>
      <c r="FJ12" s="141" t="e">
        <f>'C6 AVIACION AGRICOLA'!FJ18/'C6 AVIACION AGRICOLA'!FJ24</f>
        <v>#DIV/0!</v>
      </c>
      <c r="FK12" s="141">
        <f>'C6 AVIACION AGRICOLA'!FK18/'C6 AVIACION AGRICOLA'!FK24</f>
        <v>1.2784294431487813</v>
      </c>
      <c r="FL12" s="36" t="e">
        <f>'C6 AVIACION AGRICOLA'!FL18/'C6 AVIACION AGRICOLA'!FL24</f>
        <v>#DIV/0!</v>
      </c>
      <c r="FM12" s="36" t="e">
        <f>'C6 AVIACION AGRICOLA'!FM18/'C6 AVIACION AGRICOLA'!FM24</f>
        <v>#DIV/0!</v>
      </c>
      <c r="FN12" s="141" t="e">
        <f>'C6 AVIACION AGRICOLA'!FN18/'C6 AVIACION AGRICOLA'!FN24</f>
        <v>#DIV/0!</v>
      </c>
      <c r="FO12" s="141">
        <f>'C6 AVIACION AGRICOLA'!FO18/'C6 AVIACION AGRICOLA'!FO24</f>
        <v>0.3145485678704857</v>
      </c>
    </row>
    <row r="13" spans="1:171" ht="12.75">
      <c r="A13" s="42" t="s">
        <v>45</v>
      </c>
      <c r="B13" s="36">
        <f>'C6 AVIACION AGRICOLA'!B16/'C6 AVIACION AGRICOLA'!B24</f>
        <v>0.17490946224502837</v>
      </c>
      <c r="C13" s="36">
        <f>'C6 AVIACION AGRICOLA'!C16/'C6 AVIACION AGRICOLA'!C24</f>
        <v>0.10138697157322756</v>
      </c>
      <c r="D13" s="141">
        <f>'C6 AVIACION AGRICOLA'!D16/'C6 AVIACION AGRICOLA'!D24</f>
        <v>0.04995221886601486</v>
      </c>
      <c r="E13" s="141">
        <f>'C6 AVIACION AGRICOLA'!E16/'C6 AVIACION AGRICOLA'!E24</f>
        <v>0.18129426379987185</v>
      </c>
      <c r="F13" s="36">
        <f>'C6 AVIACION AGRICOLA'!F16/'C6 AVIACION AGRICOLA'!F24</f>
        <v>0.05796819187690324</v>
      </c>
      <c r="G13" s="36">
        <f>'C6 AVIACION AGRICOLA'!G16/'C6 AVIACION AGRICOLA'!G24</f>
        <v>0.0848439215260526</v>
      </c>
      <c r="H13" s="141">
        <f>'C6 AVIACION AGRICOLA'!H16/'C6 AVIACION AGRICOLA'!H24</f>
        <v>0.07349527121553903</v>
      </c>
      <c r="I13" s="141">
        <f>'C6 AVIACION AGRICOLA'!I16/'C6 AVIACION AGRICOLA'!I24</f>
        <v>0.0889122852413288</v>
      </c>
      <c r="J13" s="36" t="e">
        <f>'C6 AVIACION AGRICOLA'!J16/'C6 AVIACION AGRICOLA'!J24</f>
        <v>#DIV/0!</v>
      </c>
      <c r="K13" s="36">
        <f>'C6 AVIACION AGRICOLA'!K16/'C6 AVIACION AGRICOLA'!K24</f>
        <v>1.1528807870428757</v>
      </c>
      <c r="L13" s="141">
        <f>'C6 AVIACION AGRICOLA'!L16/'C6 AVIACION AGRICOLA'!L24</f>
        <v>0.16172449732164723</v>
      </c>
      <c r="M13" s="141" t="e">
        <f>'C6 AVIACION AGRICOLA'!M16/'C6 AVIACION AGRICOLA'!M24</f>
        <v>#DIV/0!</v>
      </c>
      <c r="N13" s="36" t="e">
        <f>'C6 AVIACION AGRICOLA'!N16/'C6 AVIACION AGRICOLA'!N24</f>
        <v>#DIV/0!</v>
      </c>
      <c r="O13" s="36">
        <f>'C6 AVIACION AGRICOLA'!O16/'C6 AVIACION AGRICOLA'!O24</f>
        <v>0</v>
      </c>
      <c r="P13" s="141">
        <f>'C6 AVIACION AGRICOLA'!P16/'C6 AVIACION AGRICOLA'!P24</f>
        <v>0.4153893789422009</v>
      </c>
      <c r="Q13" s="141">
        <f>'C6 AVIACION AGRICOLA'!Q16/'C6 AVIACION AGRICOLA'!Q24</f>
        <v>0</v>
      </c>
      <c r="R13" s="36">
        <f>'C6 AVIACION AGRICOLA'!R16/'C6 AVIACION AGRICOLA'!R24</f>
        <v>0</v>
      </c>
      <c r="S13" s="36">
        <f>'C6 AVIACION AGRICOLA'!S16/'C6 AVIACION AGRICOLA'!S24</f>
        <v>0</v>
      </c>
      <c r="T13" s="141">
        <f>'C6 AVIACION AGRICOLA'!T16/'C6 AVIACION AGRICOLA'!T24</f>
        <v>0</v>
      </c>
      <c r="U13" s="141">
        <f>'C6 AVIACION AGRICOLA'!U16/'C6 AVIACION AGRICOLA'!U24</f>
        <v>0</v>
      </c>
      <c r="V13" s="36" t="e">
        <f>'C6 AVIACION AGRICOLA'!V16/'C6 AVIACION AGRICOLA'!V24</f>
        <v>#DIV/0!</v>
      </c>
      <c r="W13" s="36">
        <f>'C6 AVIACION AGRICOLA'!W16/'C6 AVIACION AGRICOLA'!W24</f>
        <v>0</v>
      </c>
      <c r="X13" s="141">
        <f>'C6 AVIACION AGRICOLA'!X16/'C6 AVIACION AGRICOLA'!X24</f>
        <v>0</v>
      </c>
      <c r="Y13" s="141">
        <f>'C6 AVIACION AGRICOLA'!Y16/'C6 AVIACION AGRICOLA'!Y24</f>
        <v>0</v>
      </c>
      <c r="Z13" s="36">
        <f>'C6 AVIACION AGRICOLA'!Z16/'C6 AVIACION AGRICOLA'!Z24</f>
        <v>0</v>
      </c>
      <c r="AA13" s="36" t="e">
        <f>'C6 AVIACION AGRICOLA'!AA16/'C6 AVIACION AGRICOLA'!AA24</f>
        <v>#DIV/0!</v>
      </c>
      <c r="AB13" s="141">
        <f>'C6 AVIACION AGRICOLA'!AB16/'C6 AVIACION AGRICOLA'!AB24</f>
        <v>0.634696391412402</v>
      </c>
      <c r="AC13" s="36" t="e">
        <f>'C6 AVIACION AGRICOLA'!AC16/'C6 AVIACION AGRICOLA'!AC24</f>
        <v>#DIV/0!</v>
      </c>
      <c r="AD13" s="36" t="e">
        <f>'C6 AVIACION AGRICOLA'!AD16/'C6 AVIACION AGRICOLA'!AD24</f>
        <v>#DIV/0!</v>
      </c>
      <c r="AE13" s="141" t="e">
        <f>'C6 AVIACION AGRICOLA'!AE16/'C6 AVIACION AGRICOLA'!AE24</f>
        <v>#DIV/0!</v>
      </c>
      <c r="AF13" s="141">
        <f>'C6 AVIACION AGRICOLA'!AF16/'C6 AVIACION AGRICOLA'!AF24</f>
        <v>0.9885479271678725</v>
      </c>
      <c r="AG13" s="36">
        <f>'C6 AVIACION AGRICOLA'!AG16/'C6 AVIACION AGRICOLA'!AG24</f>
        <v>0.9041491518400172</v>
      </c>
      <c r="AH13" s="36">
        <f>'C6 AVIACION AGRICOLA'!AH16/'C6 AVIACION AGRICOLA'!AH24</f>
        <v>0.01557852585288283</v>
      </c>
      <c r="AI13" s="141">
        <f>'C6 AVIACION AGRICOLA'!AI16/'C6 AVIACION AGRICOLA'!AI24</f>
        <v>0.017281029864823706</v>
      </c>
      <c r="AJ13" s="141">
        <f>'C6 AVIACION AGRICOLA'!AJ16/'C6 AVIACION AGRICOLA'!AJ24</f>
        <v>0</v>
      </c>
      <c r="AK13" s="36" t="e">
        <f>'C6 AVIACION AGRICOLA'!AK16/'C6 AVIACION AGRICOLA'!AK24</f>
        <v>#DIV/0!</v>
      </c>
      <c r="AL13" s="36" t="e">
        <f>'C6 AVIACION AGRICOLA'!AL16/'C6 AVIACION AGRICOLA'!AL24</f>
        <v>#DIV/0!</v>
      </c>
      <c r="AM13" s="141" t="e">
        <f>'C6 AVIACION AGRICOLA'!AM16/'C6 AVIACION AGRICOLA'!AM24</f>
        <v>#DIV/0!</v>
      </c>
      <c r="AN13" s="141" t="e">
        <f>'C6 AVIACION AGRICOLA'!AN16/'C6 AVIACION AGRICOLA'!AN24</f>
        <v>#DIV/0!</v>
      </c>
      <c r="AO13" s="36" t="e">
        <f>'C6 AVIACION AGRICOLA'!AO16/'C6 AVIACION AGRICOLA'!AO24</f>
        <v>#DIV/0!</v>
      </c>
      <c r="AP13" s="36" t="e">
        <f>'C6 AVIACION AGRICOLA'!AP16/'C6 AVIACION AGRICOLA'!AP24</f>
        <v>#DIV/0!</v>
      </c>
      <c r="AQ13" s="141">
        <f>'C6 AVIACION AGRICOLA'!AQ16/'C6 AVIACION AGRICOLA'!AQ24</f>
        <v>0</v>
      </c>
      <c r="AR13" s="141">
        <f>'C6 AVIACION AGRICOLA'!AR16/'C6 AVIACION AGRICOLA'!AR24</f>
        <v>0</v>
      </c>
      <c r="AS13" s="36">
        <f>'C6 AVIACION AGRICOLA'!AS16/'C6 AVIACION AGRICOLA'!AS24</f>
        <v>1.167128242272751</v>
      </c>
      <c r="AT13" s="36">
        <f>'C6 AVIACION AGRICOLA'!AT16/'C6 AVIACION AGRICOLA'!AT24</f>
        <v>0.9155525895836356</v>
      </c>
      <c r="AU13" s="141">
        <f>'C6 AVIACION AGRICOLA'!AU16/'C6 AVIACION AGRICOLA'!AU24</f>
        <v>0</v>
      </c>
      <c r="AV13" s="141">
        <f>'C6 AVIACION AGRICOLA'!AV16/'C6 AVIACION AGRICOLA'!AV24</f>
        <v>0</v>
      </c>
      <c r="AW13" s="36" t="e">
        <f>'C6 AVIACION AGRICOLA'!AW16/'C6 AVIACION AGRICOLA'!AW24</f>
        <v>#DIV/0!</v>
      </c>
      <c r="AX13" s="36">
        <f>'C6 AVIACION AGRICOLA'!AX16/'C6 AVIACION AGRICOLA'!AX24</f>
        <v>0</v>
      </c>
      <c r="AY13" s="141">
        <f>'C6 AVIACION AGRICOLA'!AY16/'C6 AVIACION AGRICOLA'!AY24</f>
        <v>0</v>
      </c>
      <c r="AZ13" s="141">
        <f>'C6 AVIACION AGRICOLA'!AZ16/'C6 AVIACION AGRICOLA'!AZ24</f>
        <v>0</v>
      </c>
      <c r="BA13" s="36">
        <f>'C6 AVIACION AGRICOLA'!BA16/'C6 AVIACION AGRICOLA'!BA24</f>
        <v>0.0739099525012243</v>
      </c>
      <c r="BB13" s="36">
        <f>'C6 AVIACION AGRICOLA'!BB16/'C6 AVIACION AGRICOLA'!BB24</f>
        <v>0.022006616115501396</v>
      </c>
      <c r="BC13" s="141">
        <f>'C6 AVIACION AGRICOLA'!BC16/'C6 AVIACION AGRICOLA'!BC24</f>
        <v>0.06682759808841988</v>
      </c>
      <c r="BD13" s="141">
        <f>'C6 AVIACION AGRICOLA'!BD16/'C6 AVIACION AGRICOLA'!BD24</f>
        <v>0.09755117770658521</v>
      </c>
      <c r="BE13" s="36" t="e">
        <f>'C6 AVIACION AGRICOLA'!BE16/'C6 AVIACION AGRICOLA'!BE24</f>
        <v>#DIV/0!</v>
      </c>
      <c r="BF13" s="36">
        <f>'C6 AVIACION AGRICOLA'!BF16/'C6 AVIACION AGRICOLA'!BF24</f>
        <v>0</v>
      </c>
      <c r="BG13" s="141">
        <f>'C6 AVIACION AGRICOLA'!BG16/'C6 AVIACION AGRICOLA'!BG24</f>
        <v>0</v>
      </c>
      <c r="BH13" s="141">
        <f>'C6 AVIACION AGRICOLA'!BH16/'C6 AVIACION AGRICOLA'!BH24</f>
        <v>0</v>
      </c>
      <c r="BI13" s="36" t="e">
        <f>'C6 AVIACION AGRICOLA'!BI16/'C6 AVIACION AGRICOLA'!BI24</f>
        <v>#DIV/0!</v>
      </c>
      <c r="BJ13" s="36">
        <f>'C6 AVIACION AGRICOLA'!BJ16/'C6 AVIACION AGRICOLA'!BJ24</f>
        <v>0</v>
      </c>
      <c r="BK13" s="141">
        <f>'C6 AVIACION AGRICOLA'!BK16/'C6 AVIACION AGRICOLA'!BK24</f>
        <v>0</v>
      </c>
      <c r="BL13" s="141">
        <f>'C6 AVIACION AGRICOLA'!BL16/'C6 AVIACION AGRICOLA'!BL24</f>
        <v>0</v>
      </c>
      <c r="BM13" s="36">
        <f>'C6 AVIACION AGRICOLA'!BM16/'C6 AVIACION AGRICOLA'!BM24</f>
        <v>1.4336222925294424</v>
      </c>
      <c r="BN13" s="36">
        <f>'C6 AVIACION AGRICOLA'!BN16/'C6 AVIACION AGRICOLA'!BN24</f>
        <v>0.1531517451179343</v>
      </c>
      <c r="BO13" s="141">
        <f>'C6 AVIACION AGRICOLA'!BO16/'C6 AVIACION AGRICOLA'!BO24</f>
        <v>0.009172942785475901</v>
      </c>
      <c r="BP13" s="141">
        <f>'C6 AVIACION AGRICOLA'!BP16/'C6 AVIACION AGRICOLA'!BP24</f>
        <v>0.0922649697108865</v>
      </c>
      <c r="BQ13" s="36" t="e">
        <f>'C6 AVIACION AGRICOLA'!BQ16/'C6 AVIACION AGRICOLA'!BQ24</f>
        <v>#DIV/0!</v>
      </c>
      <c r="BR13" s="36" t="e">
        <f>'C6 AVIACION AGRICOLA'!BR16/'C6 AVIACION AGRICOLA'!BR24</f>
        <v>#DIV/0!</v>
      </c>
      <c r="BS13" s="141">
        <f>'C6 AVIACION AGRICOLA'!BS16/'C6 AVIACION AGRICOLA'!BS24</f>
        <v>0.19061529109820344</v>
      </c>
      <c r="BT13" s="141">
        <f>'C6 AVIACION AGRICOLA'!BT16/'C6 AVIACION AGRICOLA'!BT24</f>
        <v>0.030800638762194466</v>
      </c>
      <c r="BU13" s="36">
        <f>'C6 AVIACION AGRICOLA'!BU16/'C6 AVIACION AGRICOLA'!BU24</f>
        <v>0</v>
      </c>
      <c r="BV13" s="36">
        <f>'C6 AVIACION AGRICOLA'!BV16/'C6 AVIACION AGRICOLA'!BV24</f>
        <v>0</v>
      </c>
      <c r="BW13" s="141">
        <f>'C6 AVIACION AGRICOLA'!BW16/'C6 AVIACION AGRICOLA'!BW24</f>
        <v>0</v>
      </c>
      <c r="BX13" s="141">
        <f>'C6 AVIACION AGRICOLA'!BX16/'C6 AVIACION AGRICOLA'!BX24</f>
        <v>0</v>
      </c>
      <c r="BY13" s="36">
        <f>'C6 AVIACION AGRICOLA'!BY16/'C6 AVIACION AGRICOLA'!BY24</f>
        <v>0.003259795891205264</v>
      </c>
      <c r="BZ13" s="36">
        <f>'C6 AVIACION AGRICOLA'!BZ16/'C6 AVIACION AGRICOLA'!BZ24</f>
        <v>0.0031181676464500287</v>
      </c>
      <c r="CA13" s="141">
        <f>'C6 AVIACION AGRICOLA'!CA16/'C6 AVIACION AGRICOLA'!CA24</f>
        <v>0</v>
      </c>
      <c r="CB13" s="141">
        <f>'C6 AVIACION AGRICOLA'!CB16/'C6 AVIACION AGRICOLA'!CB24</f>
        <v>0</v>
      </c>
      <c r="CC13" s="36" t="e">
        <f>'C6 AVIACION AGRICOLA'!CC16/'C6 AVIACION AGRICOLA'!CC24</f>
        <v>#DIV/0!</v>
      </c>
      <c r="CD13" s="36" t="e">
        <f>'C6 AVIACION AGRICOLA'!CD16/'C6 AVIACION AGRICOLA'!CD24</f>
        <v>#DIV/0!</v>
      </c>
      <c r="CE13" s="141">
        <f>'C6 AVIACION AGRICOLA'!CE16/'C6 AVIACION AGRICOLA'!CE24</f>
        <v>0</v>
      </c>
      <c r="CF13" s="141" t="e">
        <f>'C6 AVIACION AGRICOLA'!CF16/'C6 AVIACION AGRICOLA'!CF24</f>
        <v>#DIV/0!</v>
      </c>
      <c r="CG13" s="36">
        <f>'C6 AVIACION AGRICOLA'!CG16/'C6 AVIACION AGRICOLA'!CG24</f>
        <v>0.20358064243615898</v>
      </c>
      <c r="CH13" s="36">
        <f>'C6 AVIACION AGRICOLA'!CH16/'C6 AVIACION AGRICOLA'!CH24</f>
        <v>0</v>
      </c>
      <c r="CI13" s="141">
        <f>'C6 AVIACION AGRICOLA'!CI16/'C6 AVIACION AGRICOLA'!CI24</f>
        <v>0</v>
      </c>
      <c r="CJ13" s="141">
        <f>'C6 AVIACION AGRICOLA'!CJ16/'C6 AVIACION AGRICOLA'!CJ24</f>
        <v>0</v>
      </c>
      <c r="CK13" s="36" t="e">
        <f>'C6 AVIACION AGRICOLA'!CK16/'C6 AVIACION AGRICOLA'!CK24</f>
        <v>#DIV/0!</v>
      </c>
      <c r="CL13" s="36">
        <f>'C6 AVIACION AGRICOLA'!CL16/'C6 AVIACION AGRICOLA'!CL24</f>
        <v>0</v>
      </c>
      <c r="CM13" s="141">
        <f>'C6 AVIACION AGRICOLA'!CM16/'C6 AVIACION AGRICOLA'!CM24</f>
        <v>0</v>
      </c>
      <c r="CN13" s="141">
        <f>'C6 AVIACION AGRICOLA'!CN16/'C6 AVIACION AGRICOLA'!CN24</f>
        <v>0</v>
      </c>
      <c r="CO13" s="36" t="e">
        <f>'C6 AVIACION AGRICOLA'!CO16/'C6 AVIACION AGRICOLA'!CO24</f>
        <v>#DIV/0!</v>
      </c>
      <c r="CP13" s="36">
        <f>'C6 AVIACION AGRICOLA'!CP16/'C6 AVIACION AGRICOLA'!CP24</f>
        <v>0</v>
      </c>
      <c r="CQ13" s="141" t="e">
        <f>'C6 AVIACION AGRICOLA'!CQ16/'C6 AVIACION AGRICOLA'!CQ24</f>
        <v>#DIV/0!</v>
      </c>
      <c r="CR13" s="36" t="e">
        <f>'C6 AVIACION AGRICOLA'!CR16/'C6 AVIACION AGRICOLA'!CR24</f>
        <v>#DIV/0!</v>
      </c>
      <c r="CS13" s="36" t="e">
        <f>'C6 AVIACION AGRICOLA'!CS16/'C6 AVIACION AGRICOLA'!CS24</f>
        <v>#DIV/0!</v>
      </c>
      <c r="CT13" s="141" t="e">
        <f>'C6 AVIACION AGRICOLA'!CT16/'C6 AVIACION AGRICOLA'!CT24</f>
        <v>#DIV/0!</v>
      </c>
      <c r="CU13" s="141">
        <f>'C6 AVIACION AGRICOLA'!CU16/'C6 AVIACION AGRICOLA'!CU24</f>
        <v>0</v>
      </c>
      <c r="CV13" s="36">
        <f>'C6 AVIACION AGRICOLA'!CV16/'C6 AVIACION AGRICOLA'!CV24</f>
        <v>0</v>
      </c>
      <c r="CW13" s="36">
        <f>'C6 AVIACION AGRICOLA'!CW16/'C6 AVIACION AGRICOLA'!CW24</f>
        <v>0</v>
      </c>
      <c r="CX13" s="141">
        <f>'C6 AVIACION AGRICOLA'!CX16/'C6 AVIACION AGRICOLA'!CX24</f>
        <v>0</v>
      </c>
      <c r="CY13" s="141">
        <f>'C6 AVIACION AGRICOLA'!CY16/'C6 AVIACION AGRICOLA'!CY24</f>
        <v>0</v>
      </c>
      <c r="CZ13" s="36" t="e">
        <f>'C6 AVIACION AGRICOLA'!CZ16/'C6 AVIACION AGRICOLA'!CZ24</f>
        <v>#DIV/0!</v>
      </c>
      <c r="DA13" s="36">
        <f>'C6 AVIACION AGRICOLA'!DA16/'C6 AVIACION AGRICOLA'!DA24</f>
        <v>0</v>
      </c>
      <c r="DB13" s="141">
        <f>'C6 AVIACION AGRICOLA'!DB16/'C6 AVIACION AGRICOLA'!DB24</f>
        <v>0</v>
      </c>
      <c r="DC13" s="141">
        <f>'C6 AVIACION AGRICOLA'!DC16/'C6 AVIACION AGRICOLA'!DC24</f>
        <v>0</v>
      </c>
      <c r="DD13" s="36">
        <f>'C6 AVIACION AGRICOLA'!DD16/'C6 AVIACION AGRICOLA'!DD24</f>
        <v>0.4477703043597813</v>
      </c>
      <c r="DE13" s="36">
        <f>'C6 AVIACION AGRICOLA'!DE16/'C6 AVIACION AGRICOLA'!DE24</f>
        <v>0.32957993507827876</v>
      </c>
      <c r="DF13" s="141">
        <f>'C6 AVIACION AGRICOLA'!DF16/'C6 AVIACION AGRICOLA'!DF24</f>
        <v>0</v>
      </c>
      <c r="DG13" s="141">
        <f>'C6 AVIACION AGRICOLA'!DG16/'C6 AVIACION AGRICOLA'!DG24</f>
        <v>0</v>
      </c>
      <c r="DH13" s="36" t="e">
        <f>'C6 AVIACION AGRICOLA'!DH16/'C6 AVIACION AGRICOLA'!DH24</f>
        <v>#DIV/0!</v>
      </c>
      <c r="DI13" s="36" t="e">
        <f>'C6 AVIACION AGRICOLA'!DI16/'C6 AVIACION AGRICOLA'!DI24</f>
        <v>#DIV/0!</v>
      </c>
      <c r="DJ13" s="141" t="e">
        <f>'C6 AVIACION AGRICOLA'!DJ16/'C6 AVIACION AGRICOLA'!DJ24</f>
        <v>#DIV/0!</v>
      </c>
      <c r="DK13" s="141" t="e">
        <f>'C6 AVIACION AGRICOLA'!DK16/'C6 AVIACION AGRICOLA'!DK24</f>
        <v>#DIV/0!</v>
      </c>
      <c r="DL13" s="36">
        <f>'C6 AVIACION AGRICOLA'!DL16/'C6 AVIACION AGRICOLA'!DL24</f>
        <v>0</v>
      </c>
      <c r="DM13" s="36" t="e">
        <f>'C6 AVIACION AGRICOLA'!DM16/'C6 AVIACION AGRICOLA'!DM24</f>
        <v>#DIV/0!</v>
      </c>
      <c r="DN13" s="141" t="e">
        <f>'C6 AVIACION AGRICOLA'!DN16/'C6 AVIACION AGRICOLA'!DN24</f>
        <v>#DIV/0!</v>
      </c>
      <c r="DO13" s="141" t="e">
        <f>'C6 AVIACION AGRICOLA'!DO16/'C6 AVIACION AGRICOLA'!DO24</f>
        <v>#DIV/0!</v>
      </c>
      <c r="DP13" s="36" t="e">
        <f>'C6 AVIACION AGRICOLA'!DP16/'C6 AVIACION AGRICOLA'!DP24</f>
        <v>#DIV/0!</v>
      </c>
      <c r="DQ13" s="36">
        <f>'C6 AVIACION AGRICOLA'!DQ16/'C6 AVIACION AGRICOLA'!DQ24</f>
        <v>0</v>
      </c>
      <c r="DR13" s="141">
        <f>'C6 AVIACION AGRICOLA'!DR16/'C6 AVIACION AGRICOLA'!DR24</f>
        <v>0</v>
      </c>
      <c r="DS13" s="141">
        <f>'C6 AVIACION AGRICOLA'!DS16/'C6 AVIACION AGRICOLA'!DS24</f>
        <v>0</v>
      </c>
      <c r="DT13" s="36" t="e">
        <f>'C6 AVIACION AGRICOLA'!DT16/'C6 AVIACION AGRICOLA'!DT24</f>
        <v>#DIV/0!</v>
      </c>
      <c r="DU13" s="36">
        <f>'C6 AVIACION AGRICOLA'!DU16/'C6 AVIACION AGRICOLA'!DU24</f>
        <v>0</v>
      </c>
      <c r="DV13" s="141">
        <f>'C6 AVIACION AGRICOLA'!DV16/'C6 AVIACION AGRICOLA'!DV24</f>
        <v>0</v>
      </c>
      <c r="DW13" s="141" t="e">
        <f>'C6 AVIACION AGRICOLA'!DW16/'C6 AVIACION AGRICOLA'!DW24</f>
        <v>#DIV/0!</v>
      </c>
      <c r="DX13" s="36" t="e">
        <f>'C6 AVIACION AGRICOLA'!DX16/'C6 AVIACION AGRICOLA'!DX24</f>
        <v>#DIV/0!</v>
      </c>
      <c r="DY13" s="36">
        <f>'C6 AVIACION AGRICOLA'!DY16/'C6 AVIACION AGRICOLA'!DY24</f>
        <v>0</v>
      </c>
      <c r="DZ13" s="141">
        <f>'C6 AVIACION AGRICOLA'!DZ16/'C6 AVIACION AGRICOLA'!DZ24</f>
        <v>0</v>
      </c>
      <c r="EA13" s="141">
        <f>'C6 AVIACION AGRICOLA'!EA16/'C6 AVIACION AGRICOLA'!EA24</f>
        <v>0</v>
      </c>
      <c r="EB13" s="36" t="e">
        <f>'C6 AVIACION AGRICOLA'!EB16/'C6 AVIACION AGRICOLA'!EB24</f>
        <v>#DIV/0!</v>
      </c>
      <c r="EC13" s="36">
        <f>'C6 AVIACION AGRICOLA'!EC16/'C6 AVIACION AGRICOLA'!EC24</f>
        <v>0</v>
      </c>
      <c r="ED13" s="141">
        <f>'C6 AVIACION AGRICOLA'!ED16/'C6 AVIACION AGRICOLA'!ED24</f>
        <v>0</v>
      </c>
      <c r="EE13" s="141">
        <f>'C6 AVIACION AGRICOLA'!EE16/'C6 AVIACION AGRICOLA'!EE24</f>
        <v>1.293283975977518</v>
      </c>
      <c r="EF13" s="36">
        <f>'C6 AVIACION AGRICOLA'!EF16/'C6 AVIACION AGRICOLA'!EF24</f>
        <v>0</v>
      </c>
      <c r="EG13" s="36">
        <f>'C6 AVIACION AGRICOLA'!EG16/'C6 AVIACION AGRICOLA'!EG24</f>
        <v>0</v>
      </c>
      <c r="EH13" s="141">
        <f>'C6 AVIACION AGRICOLA'!EH16/'C6 AVIACION AGRICOLA'!EH24</f>
        <v>0</v>
      </c>
      <c r="EI13" s="141">
        <f>'C6 AVIACION AGRICOLA'!EI16/'C6 AVIACION AGRICOLA'!EI24</f>
        <v>0</v>
      </c>
      <c r="EJ13" s="36">
        <f>'C6 AVIACION AGRICOLA'!EJ16/'C6 AVIACION AGRICOLA'!EJ24</f>
        <v>0.07586899034138</v>
      </c>
      <c r="EK13" s="36">
        <f>'C6 AVIACION AGRICOLA'!EK16/'C6 AVIACION AGRICOLA'!EK24</f>
        <v>0</v>
      </c>
      <c r="EL13" s="141">
        <f>'C6 AVIACION AGRICOLA'!EL16/'C6 AVIACION AGRICOLA'!EL24</f>
        <v>0.01908915727200473</v>
      </c>
      <c r="EM13" s="141">
        <f>'C6 AVIACION AGRICOLA'!EM16/'C6 AVIACION AGRICOLA'!EM24</f>
        <v>0</v>
      </c>
      <c r="EN13" s="36">
        <f>'C6 AVIACION AGRICOLA'!EN16/'C6 AVIACION AGRICOLA'!EN24</f>
        <v>0</v>
      </c>
      <c r="EO13" s="36">
        <f>'C6 AVIACION AGRICOLA'!EO16/'C6 AVIACION AGRICOLA'!EO24</f>
        <v>0</v>
      </c>
      <c r="EP13" s="141">
        <f>'C6 AVIACION AGRICOLA'!EP16/'C6 AVIACION AGRICOLA'!EP24</f>
        <v>0</v>
      </c>
      <c r="EQ13" s="141" t="e">
        <f>'C6 AVIACION AGRICOLA'!EQ16/'C6 AVIACION AGRICOLA'!EQ24</f>
        <v>#DIV/0!</v>
      </c>
      <c r="ER13" s="36" t="e">
        <f>'C6 AVIACION AGRICOLA'!ER16/'C6 AVIACION AGRICOLA'!ER24</f>
        <v>#DIV/0!</v>
      </c>
      <c r="ES13" s="36" t="e">
        <f>'C6 AVIACION AGRICOLA'!ES16/'C6 AVIACION AGRICOLA'!ES24</f>
        <v>#DIV/0!</v>
      </c>
      <c r="ET13" s="141">
        <f>'C6 AVIACION AGRICOLA'!ET16/'C6 AVIACION AGRICOLA'!ET24</f>
        <v>0</v>
      </c>
      <c r="EU13" s="141">
        <f>'C6 AVIACION AGRICOLA'!EU16/'C6 AVIACION AGRICOLA'!EU24</f>
        <v>0.5455974842767296</v>
      </c>
      <c r="EV13" s="36">
        <f>'C6 AVIACION AGRICOLA'!EV16/'C6 AVIACION AGRICOLA'!EV24</f>
        <v>0.8900823127278161</v>
      </c>
      <c r="EW13" s="36">
        <f>'C6 AVIACION AGRICOLA'!EW16/'C6 AVIACION AGRICOLA'!EW24</f>
        <v>0</v>
      </c>
      <c r="EX13" s="141">
        <f>'C6 AVIACION AGRICOLA'!EX16/'C6 AVIACION AGRICOLA'!EX24</f>
        <v>0</v>
      </c>
      <c r="EY13" s="141">
        <f>'C6 AVIACION AGRICOLA'!EY16/'C6 AVIACION AGRICOLA'!EY24</f>
        <v>0.057341675223808966</v>
      </c>
      <c r="EZ13" s="36" t="e">
        <f>'C6 AVIACION AGRICOLA'!EZ16/'C6 AVIACION AGRICOLA'!EZ24</f>
        <v>#DIV/0!</v>
      </c>
      <c r="FA13" s="36">
        <f>'C6 AVIACION AGRICOLA'!FA16/'C6 AVIACION AGRICOLA'!FA24</f>
        <v>0</v>
      </c>
      <c r="FB13" s="141">
        <f>'C6 AVIACION AGRICOLA'!FB16/'C6 AVIACION AGRICOLA'!FB24</f>
        <v>0</v>
      </c>
      <c r="FC13" s="141" t="e">
        <f>'C6 AVIACION AGRICOLA'!FC16/'C6 AVIACION AGRICOLA'!FC24</f>
        <v>#DIV/0!</v>
      </c>
      <c r="FD13" s="36">
        <f>'C6 AVIACION AGRICOLA'!FD16/'C6 AVIACION AGRICOLA'!FD24</f>
        <v>0</v>
      </c>
      <c r="FE13" s="36" t="e">
        <f>'C6 AVIACION AGRICOLA'!FE16/'C6 AVIACION AGRICOLA'!FE24</f>
        <v>#DIV/0!</v>
      </c>
      <c r="FF13" s="143">
        <f>'C6 AVIACION AGRICOLA'!FF16/'C6 AVIACION AGRICOLA'!FF24</f>
        <v>0</v>
      </c>
      <c r="FG13" s="141" t="e">
        <f>'C6 AVIACION AGRICOLA'!FG16/'C6 AVIACION AGRICOLA'!FG24</f>
        <v>#DIV/0!</v>
      </c>
      <c r="FH13" s="36">
        <f>'C6 AVIACION AGRICOLA'!FH16/'C6 AVIACION AGRICOLA'!FH24</f>
        <v>0</v>
      </c>
      <c r="FI13" s="36" t="e">
        <f>'C6 AVIACION AGRICOLA'!FI16/'C6 AVIACION AGRICOLA'!FI24</f>
        <v>#DIV/0!</v>
      </c>
      <c r="FJ13" s="141" t="e">
        <f>'C6 AVIACION AGRICOLA'!FJ16/'C6 AVIACION AGRICOLA'!FJ24</f>
        <v>#DIV/0!</v>
      </c>
      <c r="FK13" s="141">
        <f>'C6 AVIACION AGRICOLA'!FK16/'C6 AVIACION AGRICOLA'!FK24</f>
        <v>0</v>
      </c>
      <c r="FL13" s="36" t="e">
        <f>'C6 AVIACION AGRICOLA'!FL16/'C6 AVIACION AGRICOLA'!FL24</f>
        <v>#DIV/0!</v>
      </c>
      <c r="FM13" s="36" t="e">
        <f>'C6 AVIACION AGRICOLA'!FM16/'C6 AVIACION AGRICOLA'!FM24</f>
        <v>#DIV/0!</v>
      </c>
      <c r="FN13" s="141" t="e">
        <f>'C6 AVIACION AGRICOLA'!FN16/'C6 AVIACION AGRICOLA'!FN24</f>
        <v>#DIV/0!</v>
      </c>
      <c r="FO13" s="141">
        <f>'C6 AVIACION AGRICOLA'!FO16/'C6 AVIACION AGRICOLA'!FO24</f>
        <v>0</v>
      </c>
    </row>
    <row r="14" spans="1:171" ht="12.75">
      <c r="A14" s="41" t="s">
        <v>46</v>
      </c>
      <c r="B14" s="36">
        <f>'C6 AVIACION AGRICOLA'!B18/'C6 AVIACION AGRICOLA'!B13</f>
        <v>0.31682909287407823</v>
      </c>
      <c r="C14" s="36">
        <f>'C6 AVIACION AGRICOLA'!C18/'C6 AVIACION AGRICOLA'!C13</f>
        <v>0.5224365884984334</v>
      </c>
      <c r="D14" s="141">
        <f>'C6 AVIACION AGRICOLA'!D18/'C6 AVIACION AGRICOLA'!D13</f>
        <v>0.3878057691444572</v>
      </c>
      <c r="E14" s="141">
        <f>'C6 AVIACION AGRICOLA'!E18/'C6 AVIACION AGRICOLA'!E13</f>
        <v>0.3387323324653948</v>
      </c>
      <c r="F14" s="36">
        <f>'C6 AVIACION AGRICOLA'!F18/'C6 AVIACION AGRICOLA'!F13</f>
        <v>0.2506968426605418</v>
      </c>
      <c r="G14" s="36">
        <f>'C6 AVIACION AGRICOLA'!G18/'C6 AVIACION AGRICOLA'!G13</f>
        <v>0.27502963995285035</v>
      </c>
      <c r="H14" s="141">
        <f>'C6 AVIACION AGRICOLA'!H18/'C6 AVIACION AGRICOLA'!H13</f>
        <v>0.14891014336638014</v>
      </c>
      <c r="I14" s="141">
        <f>'C6 AVIACION AGRICOLA'!I18/'C6 AVIACION AGRICOLA'!I13</f>
        <v>0.18910934482255734</v>
      </c>
      <c r="J14" s="36" t="e">
        <f>'C6 AVIACION AGRICOLA'!J18/'C6 AVIACION AGRICOLA'!J13</f>
        <v>#DIV/0!</v>
      </c>
      <c r="K14" s="36">
        <f>'C6 AVIACION AGRICOLA'!K18/'C6 AVIACION AGRICOLA'!K13</f>
        <v>0.7535303742824468</v>
      </c>
      <c r="L14" s="141">
        <f>'C6 AVIACION AGRICOLA'!L18/'C6 AVIACION AGRICOLA'!L13</f>
        <v>0.6559721042524317</v>
      </c>
      <c r="M14" s="141" t="e">
        <f>'C6 AVIACION AGRICOLA'!M18/'C6 AVIACION AGRICOLA'!M13</f>
        <v>#DIV/0!</v>
      </c>
      <c r="N14" s="36" t="e">
        <f>'C6 AVIACION AGRICOLA'!N18/'C6 AVIACION AGRICOLA'!N13</f>
        <v>#DIV/0!</v>
      </c>
      <c r="O14" s="36">
        <f>'C6 AVIACION AGRICOLA'!O18/'C6 AVIACION AGRICOLA'!O13</f>
        <v>0.7710110227629774</v>
      </c>
      <c r="P14" s="141">
        <f>'C6 AVIACION AGRICOLA'!P18/'C6 AVIACION AGRICOLA'!P13</f>
        <v>0.7090785104100907</v>
      </c>
      <c r="Q14" s="141">
        <f>'C6 AVIACION AGRICOLA'!Q18/'C6 AVIACION AGRICOLA'!Q13</f>
        <v>0.8208476651314639</v>
      </c>
      <c r="R14" s="36">
        <f>'C6 AVIACION AGRICOLA'!R18/'C6 AVIACION AGRICOLA'!R13</f>
        <v>0.30686322826715806</v>
      </c>
      <c r="S14" s="36">
        <f>'C6 AVIACION AGRICOLA'!S18/'C6 AVIACION AGRICOLA'!S13</f>
        <v>0.22848151776359835</v>
      </c>
      <c r="T14" s="141">
        <f>'C6 AVIACION AGRICOLA'!T18/'C6 AVIACION AGRICOLA'!T13</f>
        <v>0.6796600702989779</v>
      </c>
      <c r="U14" s="141">
        <f>'C6 AVIACION AGRICOLA'!U18/'C6 AVIACION AGRICOLA'!U13</f>
        <v>0.8078173053618075</v>
      </c>
      <c r="V14" s="36" t="e">
        <f>'C6 AVIACION AGRICOLA'!V18/'C6 AVIACION AGRICOLA'!V13</f>
        <v>#DIV/0!</v>
      </c>
      <c r="W14" s="36">
        <f>'C6 AVIACION AGRICOLA'!W18/'C6 AVIACION AGRICOLA'!W13</f>
        <v>0.6373165183638045</v>
      </c>
      <c r="X14" s="141">
        <f>'C6 AVIACION AGRICOLA'!X18/'C6 AVIACION AGRICOLA'!X13</f>
        <v>0.6116133135769373</v>
      </c>
      <c r="Y14" s="141">
        <f>'C6 AVIACION AGRICOLA'!Y18/'C6 AVIACION AGRICOLA'!Y13</f>
        <v>0.6147838563571753</v>
      </c>
      <c r="Z14" s="36">
        <f>'C6 AVIACION AGRICOLA'!Z18/'C6 AVIACION AGRICOLA'!Z13</f>
        <v>0.7505063138506471</v>
      </c>
      <c r="AA14" s="36" t="e">
        <f>'C6 AVIACION AGRICOLA'!AA18/'C6 AVIACION AGRICOLA'!AA13</f>
        <v>#DIV/0!</v>
      </c>
      <c r="AB14" s="141">
        <f>'C6 AVIACION AGRICOLA'!AB18/'C6 AVIACION AGRICOLA'!AB13</f>
        <v>0.6622816921053388</v>
      </c>
      <c r="AC14" s="36" t="e">
        <f>'C6 AVIACION AGRICOLA'!AC18/'C6 AVIACION AGRICOLA'!AC13</f>
        <v>#DIV/0!</v>
      </c>
      <c r="AD14" s="36" t="e">
        <f>'C6 AVIACION AGRICOLA'!AD18/'C6 AVIACION AGRICOLA'!AD13</f>
        <v>#DIV/0!</v>
      </c>
      <c r="AE14" s="141" t="e">
        <f>'C6 AVIACION AGRICOLA'!AE18/'C6 AVIACION AGRICOLA'!AE13</f>
        <v>#DIV/0!</v>
      </c>
      <c r="AF14" s="141">
        <f>'C6 AVIACION AGRICOLA'!AF18/'C6 AVIACION AGRICOLA'!AF13</f>
        <v>0.6445147447549832</v>
      </c>
      <c r="AG14" s="36">
        <f>'C6 AVIACION AGRICOLA'!AG18/'C6 AVIACION AGRICOLA'!AG13</f>
        <v>0.47483105562729677</v>
      </c>
      <c r="AH14" s="36">
        <f>'C6 AVIACION AGRICOLA'!AH18/'C6 AVIACION AGRICOLA'!AH13</f>
        <v>0.5735457048744261</v>
      </c>
      <c r="AI14" s="141">
        <f>'C6 AVIACION AGRICOLA'!AI18/'C6 AVIACION AGRICOLA'!AI13</f>
        <v>0.5185538779942934</v>
      </c>
      <c r="AJ14" s="141">
        <f>'C6 AVIACION AGRICOLA'!AJ18/'C6 AVIACION AGRICOLA'!AJ13</f>
        <v>0.2812643241615045</v>
      </c>
      <c r="AK14" s="36" t="e">
        <f>'C6 AVIACION AGRICOLA'!AK18/'C6 AVIACION AGRICOLA'!AK13</f>
        <v>#DIV/0!</v>
      </c>
      <c r="AL14" s="36" t="e">
        <f>'C6 AVIACION AGRICOLA'!AL18/'C6 AVIACION AGRICOLA'!AL13</f>
        <v>#DIV/0!</v>
      </c>
      <c r="AM14" s="141" t="e">
        <f>'C6 AVIACION AGRICOLA'!AM18/'C6 AVIACION AGRICOLA'!AM13</f>
        <v>#DIV/0!</v>
      </c>
      <c r="AN14" s="141" t="e">
        <f>'C6 AVIACION AGRICOLA'!AN18/'C6 AVIACION AGRICOLA'!AN13</f>
        <v>#DIV/0!</v>
      </c>
      <c r="AO14" s="36" t="e">
        <f>'C6 AVIACION AGRICOLA'!AO18/'C6 AVIACION AGRICOLA'!AO13</f>
        <v>#DIV/0!</v>
      </c>
      <c r="AP14" s="36" t="e">
        <f>'C6 AVIACION AGRICOLA'!AP18/'C6 AVIACION AGRICOLA'!AP13</f>
        <v>#DIV/0!</v>
      </c>
      <c r="AQ14" s="141">
        <f>'C6 AVIACION AGRICOLA'!AQ18/'C6 AVIACION AGRICOLA'!AQ13</f>
        <v>0.5215338968650978</v>
      </c>
      <c r="AR14" s="141">
        <f>'C6 AVIACION AGRICOLA'!AR18/'C6 AVIACION AGRICOLA'!AR13</f>
        <v>0.5277812732574235</v>
      </c>
      <c r="AS14" s="36">
        <f>'C6 AVIACION AGRICOLA'!AS18/'C6 AVIACION AGRICOLA'!AS13</f>
        <v>0.5751119255314923</v>
      </c>
      <c r="AT14" s="36">
        <f>'C6 AVIACION AGRICOLA'!AT18/'C6 AVIACION AGRICOLA'!AT13</f>
        <v>0.5215164201848017</v>
      </c>
      <c r="AU14" s="141">
        <f>'C6 AVIACION AGRICOLA'!AU18/'C6 AVIACION AGRICOLA'!AU13</f>
        <v>0.169208005357976</v>
      </c>
      <c r="AV14" s="141">
        <f>'C6 AVIACION AGRICOLA'!AV18/'C6 AVIACION AGRICOLA'!AV13</f>
        <v>0.7901763312711706</v>
      </c>
      <c r="AW14" s="36" t="e">
        <f>'C6 AVIACION AGRICOLA'!AW18/'C6 AVIACION AGRICOLA'!AW13</f>
        <v>#DIV/0!</v>
      </c>
      <c r="AX14" s="36">
        <f>'C6 AVIACION AGRICOLA'!AX18/'C6 AVIACION AGRICOLA'!AX13</f>
        <v>0.7508374725655539</v>
      </c>
      <c r="AY14" s="141">
        <f>'C6 AVIACION AGRICOLA'!AY18/'C6 AVIACION AGRICOLA'!AY13</f>
        <v>0.9686495176848875</v>
      </c>
      <c r="AZ14" s="141">
        <f>'C6 AVIACION AGRICOLA'!AZ18/'C6 AVIACION AGRICOLA'!AZ13</f>
        <v>0.8202502526089613</v>
      </c>
      <c r="BA14" s="36">
        <f>'C6 AVIACION AGRICOLA'!BA18/'C6 AVIACION AGRICOLA'!BA13</f>
        <v>0.08235509578217984</v>
      </c>
      <c r="BB14" s="36">
        <f>'C6 AVIACION AGRICOLA'!BB18/'C6 AVIACION AGRICOLA'!BB13</f>
        <v>0.4453527096066882</v>
      </c>
      <c r="BC14" s="141">
        <f>'C6 AVIACION AGRICOLA'!BC18/'C6 AVIACION AGRICOLA'!BC13</f>
        <v>0.42392158329779334</v>
      </c>
      <c r="BD14" s="141">
        <f>'C6 AVIACION AGRICOLA'!BD18/'C6 AVIACION AGRICOLA'!BD13</f>
        <v>0.40163699692915594</v>
      </c>
      <c r="BE14" s="36" t="e">
        <f>'C6 AVIACION AGRICOLA'!BE18/'C6 AVIACION AGRICOLA'!BE13</f>
        <v>#DIV/0!</v>
      </c>
      <c r="BF14" s="36">
        <f>'C6 AVIACION AGRICOLA'!BF18/'C6 AVIACION AGRICOLA'!BF13</f>
        <v>0.4568150268781448</v>
      </c>
      <c r="BG14" s="141">
        <f>'C6 AVIACION AGRICOLA'!BG18/'C6 AVIACION AGRICOLA'!BG13</f>
        <v>0.20132315343098478</v>
      </c>
      <c r="BH14" s="141">
        <f>'C6 AVIACION AGRICOLA'!BH18/'C6 AVIACION AGRICOLA'!BH13</f>
        <v>0.3452330596966438</v>
      </c>
      <c r="BI14" s="36" t="e">
        <f>'C6 AVIACION AGRICOLA'!BI18/'C6 AVIACION AGRICOLA'!BI13</f>
        <v>#DIV/0!</v>
      </c>
      <c r="BJ14" s="36" t="e">
        <f>'C6 AVIACION AGRICOLA'!BJ18/'C6 AVIACION AGRICOLA'!BJ13</f>
        <v>#DIV/0!</v>
      </c>
      <c r="BK14" s="141">
        <f>'C6 AVIACION AGRICOLA'!BK18/'C6 AVIACION AGRICOLA'!BK13</f>
        <v>0.08846100692533589</v>
      </c>
      <c r="BL14" s="141">
        <f>'C6 AVIACION AGRICOLA'!BL18/'C6 AVIACION AGRICOLA'!BL13</f>
        <v>0.15278186572022145</v>
      </c>
      <c r="BM14" s="36">
        <f>'C6 AVIACION AGRICOLA'!BM18/'C6 AVIACION AGRICOLA'!BM13</f>
        <v>4.422940845070422</v>
      </c>
      <c r="BN14" s="36">
        <f>'C6 AVIACION AGRICOLA'!BN18/'C6 AVIACION AGRICOLA'!BN13</f>
        <v>1.4447392483604067</v>
      </c>
      <c r="BO14" s="141">
        <f>'C6 AVIACION AGRICOLA'!BO18/'C6 AVIACION AGRICOLA'!BO13</f>
        <v>0.32603983234429207</v>
      </c>
      <c r="BP14" s="141">
        <f>'C6 AVIACION AGRICOLA'!BP18/'C6 AVIACION AGRICOLA'!BP13</f>
        <v>0.3458054538577397</v>
      </c>
      <c r="BQ14" s="36" t="e">
        <f>'C6 AVIACION AGRICOLA'!BQ18/'C6 AVIACION AGRICOLA'!BQ13</f>
        <v>#DIV/0!</v>
      </c>
      <c r="BR14" s="36" t="e">
        <f>'C6 AVIACION AGRICOLA'!BR18/'C6 AVIACION AGRICOLA'!BR13</f>
        <v>#DIV/0!</v>
      </c>
      <c r="BS14" s="141">
        <f>'C6 AVIACION AGRICOLA'!BS18/'C6 AVIACION AGRICOLA'!BS13</f>
        <v>0.683826709019566</v>
      </c>
      <c r="BT14" s="141">
        <f>'C6 AVIACION AGRICOLA'!BT18/'C6 AVIACION AGRICOLA'!BT13</f>
        <v>0.4611609005624023</v>
      </c>
      <c r="BU14" s="36">
        <f>'C6 AVIACION AGRICOLA'!BU18/'C6 AVIACION AGRICOLA'!BU13</f>
        <v>0.025989959479609807</v>
      </c>
      <c r="BV14" s="36">
        <f>'C6 AVIACION AGRICOLA'!BV18/'C6 AVIACION AGRICOLA'!BV13</f>
        <v>0.02117126014904572</v>
      </c>
      <c r="BW14" s="141">
        <f>'C6 AVIACION AGRICOLA'!BW18/'C6 AVIACION AGRICOLA'!BW13</f>
        <v>0.017258480951958814</v>
      </c>
      <c r="BX14" s="141">
        <f>'C6 AVIACION AGRICOLA'!BX18/'C6 AVIACION AGRICOLA'!BX13</f>
        <v>0.022998090420359444</v>
      </c>
      <c r="BY14" s="36">
        <f>'C6 AVIACION AGRICOLA'!BY18/'C6 AVIACION AGRICOLA'!BY13</f>
        <v>0.2983417689103554</v>
      </c>
      <c r="BZ14" s="36">
        <f>'C6 AVIACION AGRICOLA'!BZ18/'C6 AVIACION AGRICOLA'!BZ13</f>
        <v>0.28060220666787805</v>
      </c>
      <c r="CA14" s="141">
        <f>'C6 AVIACION AGRICOLA'!CA18/'C6 AVIACION AGRICOLA'!CA13</f>
        <v>0.20753881791702025</v>
      </c>
      <c r="CB14" s="141">
        <f>'C6 AVIACION AGRICOLA'!CB18/'C6 AVIACION AGRICOLA'!CB13</f>
        <v>0.27293667020368023</v>
      </c>
      <c r="CC14" s="36" t="e">
        <f>'C6 AVIACION AGRICOLA'!CC18/'C6 AVIACION AGRICOLA'!CC13</f>
        <v>#DIV/0!</v>
      </c>
      <c r="CD14" s="36" t="e">
        <f>'C6 AVIACION AGRICOLA'!CD18/'C6 AVIACION AGRICOLA'!CD13</f>
        <v>#DIV/0!</v>
      </c>
      <c r="CE14" s="141">
        <f>'C6 AVIACION AGRICOLA'!CE18/'C6 AVIACION AGRICOLA'!CE13</f>
        <v>0.10288726236057778</v>
      </c>
      <c r="CF14" s="141" t="e">
        <f>'C6 AVIACION AGRICOLA'!CF18/'C6 AVIACION AGRICOLA'!CF13</f>
        <v>#DIV/0!</v>
      </c>
      <c r="CG14" s="36">
        <f>'C6 AVIACION AGRICOLA'!CG18/'C6 AVIACION AGRICOLA'!CG13</f>
        <v>0.16914582642679668</v>
      </c>
      <c r="CH14" s="36">
        <f>'C6 AVIACION AGRICOLA'!CH18/'C6 AVIACION AGRICOLA'!CH13</f>
        <v>0.2510898464296638</v>
      </c>
      <c r="CI14" s="141">
        <f>'C6 AVIACION AGRICOLA'!CI18/'C6 AVIACION AGRICOLA'!CI13</f>
        <v>0.26600874865188173</v>
      </c>
      <c r="CJ14" s="141">
        <f>'C6 AVIACION AGRICOLA'!CJ18/'C6 AVIACION AGRICOLA'!CJ13</f>
        <v>0.22414732205026702</v>
      </c>
      <c r="CK14" s="36" t="e">
        <f>'C6 AVIACION AGRICOLA'!CK18/'C6 AVIACION AGRICOLA'!CK13</f>
        <v>#DIV/0!</v>
      </c>
      <c r="CL14" s="36">
        <f>'C6 AVIACION AGRICOLA'!CL18/'C6 AVIACION AGRICOLA'!CL13</f>
        <v>0.4697936767584687</v>
      </c>
      <c r="CM14" s="141">
        <f>'C6 AVIACION AGRICOLA'!CM18/'C6 AVIACION AGRICOLA'!CM13</f>
        <v>0.508985522471165</v>
      </c>
      <c r="CN14" s="141">
        <f>'C6 AVIACION AGRICOLA'!CN18/'C6 AVIACION AGRICOLA'!CN13</f>
        <v>0.3537800886701794</v>
      </c>
      <c r="CO14" s="36" t="e">
        <f>'C6 AVIACION AGRICOLA'!CO18/'C6 AVIACION AGRICOLA'!CO13</f>
        <v>#DIV/0!</v>
      </c>
      <c r="CP14" s="36">
        <f>'C6 AVIACION AGRICOLA'!CP18/'C6 AVIACION AGRICOLA'!CP13</f>
        <v>0.20508141367925836</v>
      </c>
      <c r="CQ14" s="141" t="e">
        <f>'C6 AVIACION AGRICOLA'!CQ18/'C6 AVIACION AGRICOLA'!CQ13</f>
        <v>#DIV/0!</v>
      </c>
      <c r="CR14" s="36" t="e">
        <f>'C6 AVIACION AGRICOLA'!CR18/'C6 AVIACION AGRICOLA'!CR13</f>
        <v>#DIV/0!</v>
      </c>
      <c r="CS14" s="36" t="e">
        <f>'C6 AVIACION AGRICOLA'!CS18/'C6 AVIACION AGRICOLA'!CS13</f>
        <v>#DIV/0!</v>
      </c>
      <c r="CT14" s="141" t="e">
        <f>'C6 AVIACION AGRICOLA'!CT18/'C6 AVIACION AGRICOLA'!CT13</f>
        <v>#DIV/0!</v>
      </c>
      <c r="CU14" s="141">
        <f>'C6 AVIACION AGRICOLA'!CU18/'C6 AVIACION AGRICOLA'!CU13</f>
        <v>0.6416104757541905</v>
      </c>
      <c r="CV14" s="36">
        <f>'C6 AVIACION AGRICOLA'!CV18/'C6 AVIACION AGRICOLA'!CV13</f>
        <v>0.7223779938543763</v>
      </c>
      <c r="CW14" s="36">
        <f>'C6 AVIACION AGRICOLA'!CW18/'C6 AVIACION AGRICOLA'!CW13</f>
        <v>0.732955312332926</v>
      </c>
      <c r="CX14" s="141">
        <f>'C6 AVIACION AGRICOLA'!CX18/'C6 AVIACION AGRICOLA'!CX13</f>
        <v>0.550237417848039</v>
      </c>
      <c r="CY14" s="141">
        <f>'C6 AVIACION AGRICOLA'!CY18/'C6 AVIACION AGRICOLA'!CY13</f>
        <v>0.0024129085951716985</v>
      </c>
      <c r="CZ14" s="36" t="e">
        <f>'C6 AVIACION AGRICOLA'!CZ18/'C6 AVIACION AGRICOLA'!CZ13</f>
        <v>#DIV/0!</v>
      </c>
      <c r="DA14" s="36">
        <f>'C6 AVIACION AGRICOLA'!DA18/'C6 AVIACION AGRICOLA'!DA13</f>
        <v>0.10667836469331499</v>
      </c>
      <c r="DB14" s="141">
        <f>'C6 AVIACION AGRICOLA'!DB18/'C6 AVIACION AGRICOLA'!DB13</f>
        <v>0.05925870702934204</v>
      </c>
      <c r="DC14" s="141">
        <f>'C6 AVIACION AGRICOLA'!DC18/'C6 AVIACION AGRICOLA'!DC13</f>
        <v>0.1552280723432861</v>
      </c>
      <c r="DD14" s="36">
        <f>'C6 AVIACION AGRICOLA'!DD18/'C6 AVIACION AGRICOLA'!DD13</f>
        <v>0.33092406783955136</v>
      </c>
      <c r="DE14" s="36">
        <f>'C6 AVIACION AGRICOLA'!DE18/'C6 AVIACION AGRICOLA'!DE13</f>
        <v>0.27509227953666665</v>
      </c>
      <c r="DF14" s="141">
        <f>'C6 AVIACION AGRICOLA'!DF18/'C6 AVIACION AGRICOLA'!DF13</f>
        <v>0.36699279716287836</v>
      </c>
      <c r="DG14" s="141">
        <f>'C6 AVIACION AGRICOLA'!DG18/'C6 AVIACION AGRICOLA'!DG13</f>
        <v>0.3145865550980639</v>
      </c>
      <c r="DH14" s="36" t="e">
        <f>'C6 AVIACION AGRICOLA'!DH18/'C6 AVIACION AGRICOLA'!DH13</f>
        <v>#DIV/0!</v>
      </c>
      <c r="DI14" s="36" t="e">
        <f>'C6 AVIACION AGRICOLA'!DI18/'C6 AVIACION AGRICOLA'!DI13</f>
        <v>#DIV/0!</v>
      </c>
      <c r="DJ14" s="141" t="e">
        <f>'C6 AVIACION AGRICOLA'!DJ18/'C6 AVIACION AGRICOLA'!DJ13</f>
        <v>#DIV/0!</v>
      </c>
      <c r="DK14" s="141" t="e">
        <f>'C6 AVIACION AGRICOLA'!DK18/'C6 AVIACION AGRICOLA'!DK13</f>
        <v>#DIV/0!</v>
      </c>
      <c r="DL14" s="36">
        <f>'C6 AVIACION AGRICOLA'!DL18/'C6 AVIACION AGRICOLA'!DL13</f>
        <v>0.3100375902861559</v>
      </c>
      <c r="DM14" s="36" t="e">
        <f>'C6 AVIACION AGRICOLA'!DM18/'C6 AVIACION AGRICOLA'!DM13</f>
        <v>#DIV/0!</v>
      </c>
      <c r="DN14" s="141" t="e">
        <f>'C6 AVIACION AGRICOLA'!DN18/'C6 AVIACION AGRICOLA'!DN13</f>
        <v>#DIV/0!</v>
      </c>
      <c r="DO14" s="141" t="e">
        <f>'C6 AVIACION AGRICOLA'!DO18/'C6 AVIACION AGRICOLA'!DO13</f>
        <v>#DIV/0!</v>
      </c>
      <c r="DP14" s="36" t="e">
        <f>'C6 AVIACION AGRICOLA'!DP18/'C6 AVIACION AGRICOLA'!DP13</f>
        <v>#DIV/0!</v>
      </c>
      <c r="DQ14" s="36">
        <f>'C6 AVIACION AGRICOLA'!DQ18/'C6 AVIACION AGRICOLA'!DQ13</f>
        <v>0.2178742864556305</v>
      </c>
      <c r="DR14" s="141">
        <f>'C6 AVIACION AGRICOLA'!DR18/'C6 AVIACION AGRICOLA'!DR13</f>
        <v>0.21040517568855663</v>
      </c>
      <c r="DS14" s="141">
        <f>'C6 AVIACION AGRICOLA'!DS18/'C6 AVIACION AGRICOLA'!DS13</f>
        <v>0</v>
      </c>
      <c r="DT14" s="36" t="e">
        <f>'C6 AVIACION AGRICOLA'!DT18/'C6 AVIACION AGRICOLA'!DT13</f>
        <v>#DIV/0!</v>
      </c>
      <c r="DU14" s="36">
        <f>'C6 AVIACION AGRICOLA'!DU18/'C6 AVIACION AGRICOLA'!DU13</f>
        <v>0.6602147633450439</v>
      </c>
      <c r="DV14" s="141">
        <f>'C6 AVIACION AGRICOLA'!DV18/'C6 AVIACION AGRICOLA'!DV13</f>
        <v>0.48781024284227664</v>
      </c>
      <c r="DW14" s="141" t="e">
        <f>'C6 AVIACION AGRICOLA'!DW18/'C6 AVIACION AGRICOLA'!DW13</f>
        <v>#DIV/0!</v>
      </c>
      <c r="DX14" s="36" t="e">
        <f>'C6 AVIACION AGRICOLA'!DX18/'C6 AVIACION AGRICOLA'!DX13</f>
        <v>#DIV/0!</v>
      </c>
      <c r="DY14" s="36">
        <f>'C6 AVIACION AGRICOLA'!DY18/'C6 AVIACION AGRICOLA'!DY13</f>
        <v>0.21176112489825907</v>
      </c>
      <c r="DZ14" s="141">
        <f>'C6 AVIACION AGRICOLA'!DZ18/'C6 AVIACION AGRICOLA'!DZ13</f>
        <v>0.3477764179986646</v>
      </c>
      <c r="EA14" s="141">
        <f>'C6 AVIACION AGRICOLA'!EA18/'C6 AVIACION AGRICOLA'!EA13</f>
        <v>0.29333911114701844</v>
      </c>
      <c r="EB14" s="36" t="e">
        <f>'C6 AVIACION AGRICOLA'!EB18/'C6 AVIACION AGRICOLA'!EB13</f>
        <v>#DIV/0!</v>
      </c>
      <c r="EC14" s="36">
        <f>'C6 AVIACION AGRICOLA'!EC18/'C6 AVIACION AGRICOLA'!EC13</f>
        <v>0.6274506200387602</v>
      </c>
      <c r="ED14" s="141">
        <f>'C6 AVIACION AGRICOLA'!ED18/'C6 AVIACION AGRICOLA'!ED13</f>
        <v>0.629688209120195</v>
      </c>
      <c r="EE14" s="141">
        <f>'C6 AVIACION AGRICOLA'!EE18/'C6 AVIACION AGRICOLA'!EE13</f>
        <v>0.6337845232793377</v>
      </c>
      <c r="EF14" s="36">
        <f>'C6 AVIACION AGRICOLA'!EF18/'C6 AVIACION AGRICOLA'!EF13</f>
        <v>0.35875124481844517</v>
      </c>
      <c r="EG14" s="36">
        <f>'C6 AVIACION AGRICOLA'!EG18/'C6 AVIACION AGRICOLA'!EG13</f>
        <v>0.44805415560677464</v>
      </c>
      <c r="EH14" s="141">
        <f>'C6 AVIACION AGRICOLA'!EH18/'C6 AVIACION AGRICOLA'!EH13</f>
        <v>0.4894641208181173</v>
      </c>
      <c r="EI14" s="141">
        <f>'C6 AVIACION AGRICOLA'!EI18/'C6 AVIACION AGRICOLA'!EI13</f>
        <v>0.47931009743327635</v>
      </c>
      <c r="EJ14" s="36">
        <f>'C6 AVIACION AGRICOLA'!EJ18/'C6 AVIACION AGRICOLA'!EJ13</f>
        <v>0.21387590158686368</v>
      </c>
      <c r="EK14" s="36">
        <f>'C6 AVIACION AGRICOLA'!EK18/'C6 AVIACION AGRICOLA'!EK13</f>
        <v>0.16204018472483742</v>
      </c>
      <c r="EL14" s="141">
        <f>'C6 AVIACION AGRICOLA'!EL18/'C6 AVIACION AGRICOLA'!EL13</f>
        <v>0.11953193305246788</v>
      </c>
      <c r="EM14" s="141">
        <f>'C6 AVIACION AGRICOLA'!EM18/'C6 AVIACION AGRICOLA'!EM13</f>
        <v>0.19557401355036075</v>
      </c>
      <c r="EN14" s="36">
        <f>'C6 AVIACION AGRICOLA'!EN18/'C6 AVIACION AGRICOLA'!EN13</f>
        <v>0.5608045708291408</v>
      </c>
      <c r="EO14" s="36">
        <f>'C6 AVIACION AGRICOLA'!EO18/'C6 AVIACION AGRICOLA'!EO13</f>
        <v>0.5750694637358346</v>
      </c>
      <c r="EP14" s="141">
        <f>'C6 AVIACION AGRICOLA'!EP18/'C6 AVIACION AGRICOLA'!EP13</f>
        <v>0.5762276595353175</v>
      </c>
      <c r="EQ14" s="141" t="e">
        <f>'C6 AVIACION AGRICOLA'!EQ18/'C6 AVIACION AGRICOLA'!EQ13</f>
        <v>#DIV/0!</v>
      </c>
      <c r="ER14" s="36" t="e">
        <f>'C6 AVIACION AGRICOLA'!ER18/'C6 AVIACION AGRICOLA'!ER13</f>
        <v>#DIV/0!</v>
      </c>
      <c r="ES14" s="36" t="e">
        <f>'C6 AVIACION AGRICOLA'!ES18/'C6 AVIACION AGRICOLA'!ES13</f>
        <v>#DIV/0!</v>
      </c>
      <c r="ET14" s="141">
        <f>'C6 AVIACION AGRICOLA'!ET18/'C6 AVIACION AGRICOLA'!ET13</f>
        <v>0.21870295816561908</v>
      </c>
      <c r="EU14" s="141">
        <f>'C6 AVIACION AGRICOLA'!EU18/'C6 AVIACION AGRICOLA'!EU13</f>
        <v>0.5684384515006524</v>
      </c>
      <c r="EV14" s="36">
        <f>'C6 AVIACION AGRICOLA'!EV18/'C6 AVIACION AGRICOLA'!EV13</f>
        <v>0.596244136879466</v>
      </c>
      <c r="EW14" s="36">
        <f>'C6 AVIACION AGRICOLA'!EW18/'C6 AVIACION AGRICOLA'!EW13</f>
        <v>0.529168971474859</v>
      </c>
      <c r="EX14" s="141">
        <f>'C6 AVIACION AGRICOLA'!EX18/'C6 AVIACION AGRICOLA'!EX13</f>
        <v>0.6433011899488508</v>
      </c>
      <c r="EY14" s="141">
        <f>'C6 AVIACION AGRICOLA'!EY18/'C6 AVIACION AGRICOLA'!EY13</f>
        <v>0.6438163157061232</v>
      </c>
      <c r="EZ14" s="36" t="e">
        <f>'C6 AVIACION AGRICOLA'!EZ18/'C6 AVIACION AGRICOLA'!EZ13</f>
        <v>#DIV/0!</v>
      </c>
      <c r="FA14" s="36">
        <f>'C6 AVIACION AGRICOLA'!FA18/'C6 AVIACION AGRICOLA'!FA13</f>
        <v>0.4460556790814509</v>
      </c>
      <c r="FB14" s="141">
        <f>'C6 AVIACION AGRICOLA'!FB18/'C6 AVIACION AGRICOLA'!FB13</f>
        <v>0.5087249373806483</v>
      </c>
      <c r="FC14" s="141" t="e">
        <f>'C6 AVIACION AGRICOLA'!FC18/'C6 AVIACION AGRICOLA'!FC13</f>
        <v>#DIV/0!</v>
      </c>
      <c r="FD14" s="36">
        <f>'C6 AVIACION AGRICOLA'!FD18/'C6 AVIACION AGRICOLA'!FD13</f>
        <v>0.31032423048923896</v>
      </c>
      <c r="FE14" s="36" t="e">
        <f>'C6 AVIACION AGRICOLA'!FE18/'C6 AVIACION AGRICOLA'!FE13</f>
        <v>#DIV/0!</v>
      </c>
      <c r="FF14" s="143">
        <f>'C6 AVIACION AGRICOLA'!FF18/'C6 AVIACION AGRICOLA'!FF13</f>
        <v>0</v>
      </c>
      <c r="FG14" s="141" t="e">
        <f>'C6 AVIACION AGRICOLA'!FG18/'C6 AVIACION AGRICOLA'!FG13</f>
        <v>#DIV/0!</v>
      </c>
      <c r="FH14" s="36">
        <f>'C6 AVIACION AGRICOLA'!FH18/'C6 AVIACION AGRICOLA'!FH13</f>
        <v>0.6162879882278326</v>
      </c>
      <c r="FI14" s="36" t="e">
        <f>'C6 AVIACION AGRICOLA'!FI18/'C6 AVIACION AGRICOLA'!FI13</f>
        <v>#DIV/0!</v>
      </c>
      <c r="FJ14" s="141" t="e">
        <f>'C6 AVIACION AGRICOLA'!FJ18/'C6 AVIACION AGRICOLA'!FJ13</f>
        <v>#DIV/0!</v>
      </c>
      <c r="FK14" s="141">
        <f>'C6 AVIACION AGRICOLA'!FK18/'C6 AVIACION AGRICOLA'!FK13</f>
        <v>0.561101334743</v>
      </c>
      <c r="FL14" s="36" t="e">
        <f>'C6 AVIACION AGRICOLA'!FL18/'C6 AVIACION AGRICOLA'!FL13</f>
        <v>#DIV/0!</v>
      </c>
      <c r="FM14" s="36" t="e">
        <f>'C6 AVIACION AGRICOLA'!FM18/'C6 AVIACION AGRICOLA'!FM13</f>
        <v>#DIV/0!</v>
      </c>
      <c r="FN14" s="141" t="e">
        <f>'C6 AVIACION AGRICOLA'!FN18/'C6 AVIACION AGRICOLA'!FN13</f>
        <v>#DIV/0!</v>
      </c>
      <c r="FO14" s="141">
        <f>'C6 AVIACION AGRICOLA'!FO18/'C6 AVIACION AGRICOLA'!FO13</f>
        <v>0.23928257620792312</v>
      </c>
    </row>
    <row r="15" spans="1:171" ht="12.75">
      <c r="A15" s="39" t="s">
        <v>47</v>
      </c>
      <c r="B15" s="37"/>
      <c r="C15" s="37"/>
      <c r="D15" s="142"/>
      <c r="E15" s="142"/>
      <c r="F15" s="37"/>
      <c r="G15" s="37"/>
      <c r="H15" s="142"/>
      <c r="I15" s="142"/>
      <c r="J15" s="37"/>
      <c r="K15" s="37"/>
      <c r="L15" s="142"/>
      <c r="M15" s="142"/>
      <c r="N15" s="37"/>
      <c r="O15" s="37"/>
      <c r="P15" s="142"/>
      <c r="Q15" s="142"/>
      <c r="R15" s="37"/>
      <c r="S15" s="37"/>
      <c r="T15" s="142"/>
      <c r="U15" s="142"/>
      <c r="V15" s="37"/>
      <c r="W15" s="37"/>
      <c r="X15" s="142"/>
      <c r="Y15" s="142"/>
      <c r="Z15" s="37"/>
      <c r="AA15" s="37"/>
      <c r="AB15" s="142"/>
      <c r="AC15" s="37"/>
      <c r="AD15" s="37"/>
      <c r="AE15" s="142"/>
      <c r="AF15" s="142"/>
      <c r="AG15" s="37"/>
      <c r="AH15" s="37"/>
      <c r="AI15" s="142"/>
      <c r="AJ15" s="142"/>
      <c r="AK15" s="37"/>
      <c r="AL15" s="37"/>
      <c r="AM15" s="142"/>
      <c r="AN15" s="142"/>
      <c r="AO15" s="37"/>
      <c r="AP15" s="37"/>
      <c r="AQ15" s="142"/>
      <c r="AR15" s="142"/>
      <c r="AS15" s="37"/>
      <c r="AT15" s="37"/>
      <c r="AU15" s="142"/>
      <c r="AV15" s="142"/>
      <c r="AW15" s="37"/>
      <c r="AX15" s="37"/>
      <c r="AY15" s="142"/>
      <c r="AZ15" s="142"/>
      <c r="BA15" s="37"/>
      <c r="BB15" s="37"/>
      <c r="BC15" s="142"/>
      <c r="BD15" s="142"/>
      <c r="BE15" s="37"/>
      <c r="BF15" s="37"/>
      <c r="BG15" s="142"/>
      <c r="BH15" s="142"/>
      <c r="BI15" s="37"/>
      <c r="BJ15" s="37"/>
      <c r="BK15" s="142"/>
      <c r="BL15" s="142"/>
      <c r="BM15" s="37"/>
      <c r="BN15" s="37"/>
      <c r="BO15" s="142"/>
      <c r="BP15" s="142"/>
      <c r="BQ15" s="37"/>
      <c r="BR15" s="37"/>
      <c r="BS15" s="142"/>
      <c r="BT15" s="142"/>
      <c r="BU15" s="37"/>
      <c r="BV15" s="37"/>
      <c r="BW15" s="142"/>
      <c r="BX15" s="142"/>
      <c r="BY15" s="37"/>
      <c r="BZ15" s="37"/>
      <c r="CA15" s="142"/>
      <c r="CB15" s="142"/>
      <c r="CC15" s="37"/>
      <c r="CD15" s="37"/>
      <c r="CE15" s="142"/>
      <c r="CF15" s="142"/>
      <c r="CG15" s="37"/>
      <c r="CH15" s="37"/>
      <c r="CI15" s="142"/>
      <c r="CJ15" s="142"/>
      <c r="CK15" s="37"/>
      <c r="CL15" s="37"/>
      <c r="CM15" s="142"/>
      <c r="CN15" s="142"/>
      <c r="CO15" s="37"/>
      <c r="CP15" s="37"/>
      <c r="CQ15" s="142"/>
      <c r="CR15" s="37"/>
      <c r="CS15" s="37"/>
      <c r="CT15" s="142"/>
      <c r="CU15" s="142"/>
      <c r="CV15" s="37"/>
      <c r="CW15" s="37"/>
      <c r="CX15" s="142"/>
      <c r="CY15" s="142"/>
      <c r="CZ15" s="37"/>
      <c r="DA15" s="37"/>
      <c r="DB15" s="142"/>
      <c r="DC15" s="142"/>
      <c r="DD15" s="37"/>
      <c r="DE15" s="37"/>
      <c r="DF15" s="142"/>
      <c r="DG15" s="142"/>
      <c r="DH15" s="37"/>
      <c r="DI15" s="37"/>
      <c r="DJ15" s="142"/>
      <c r="DK15" s="142"/>
      <c r="DL15" s="37"/>
      <c r="DM15" s="37"/>
      <c r="DN15" s="142"/>
      <c r="DO15" s="142"/>
      <c r="DP15" s="37"/>
      <c r="DQ15" s="37"/>
      <c r="DR15" s="142"/>
      <c r="DS15" s="142"/>
      <c r="DT15" s="37"/>
      <c r="DU15" s="37"/>
      <c r="DV15" s="142"/>
      <c r="DW15" s="142"/>
      <c r="DX15" s="37"/>
      <c r="DY15" s="37"/>
      <c r="DZ15" s="142"/>
      <c r="EA15" s="142"/>
      <c r="EB15" s="37"/>
      <c r="EC15" s="37"/>
      <c r="ED15" s="142"/>
      <c r="EE15" s="142"/>
      <c r="EF15" s="37"/>
      <c r="EG15" s="37"/>
      <c r="EH15" s="142"/>
      <c r="EI15" s="142"/>
      <c r="EJ15" s="37"/>
      <c r="EK15" s="37"/>
      <c r="EL15" s="142"/>
      <c r="EM15" s="142"/>
      <c r="EN15" s="37"/>
      <c r="EO15" s="37"/>
      <c r="EP15" s="142"/>
      <c r="EQ15" s="142"/>
      <c r="ER15" s="37"/>
      <c r="ES15" s="37"/>
      <c r="ET15" s="142"/>
      <c r="EU15" s="142"/>
      <c r="EV15" s="37"/>
      <c r="EW15" s="37"/>
      <c r="EX15" s="142"/>
      <c r="EY15" s="142"/>
      <c r="EZ15" s="37"/>
      <c r="FA15" s="37"/>
      <c r="FB15" s="142"/>
      <c r="FC15" s="142"/>
      <c r="FD15" s="37"/>
      <c r="FE15" s="37"/>
      <c r="FF15" s="144"/>
      <c r="FG15" s="142"/>
      <c r="FH15" s="37"/>
      <c r="FI15" s="37"/>
      <c r="FJ15" s="142"/>
      <c r="FK15" s="142"/>
      <c r="FL15" s="37"/>
      <c r="FM15" s="37"/>
      <c r="FN15" s="142"/>
      <c r="FO15" s="142"/>
    </row>
    <row r="16" spans="1:171" ht="12.75">
      <c r="A16" s="41" t="s">
        <v>59</v>
      </c>
      <c r="B16" s="36">
        <f>'C6 AVIACION AGRICOLA'!B13/'C6 AVIACION AGRICOLA'!B18</f>
        <v>3.1562758044995696</v>
      </c>
      <c r="C16" s="36">
        <f>'C6 AVIACION AGRICOLA'!C13/'C6 AVIACION AGRICOLA'!C18</f>
        <v>1.9141078975233348</v>
      </c>
      <c r="D16" s="141">
        <f>'C6 AVIACION AGRICOLA'!D13/'C6 AVIACION AGRICOLA'!D18</f>
        <v>2.578610427085991</v>
      </c>
      <c r="E16" s="141">
        <f>'C6 AVIACION AGRICOLA'!E13/'C6 AVIACION AGRICOLA'!E18</f>
        <v>2.952183491672325</v>
      </c>
      <c r="F16" s="36">
        <f>'C6 AVIACION AGRICOLA'!F13/'C6 AVIACION AGRICOLA'!F18</f>
        <v>3.988881508787322</v>
      </c>
      <c r="G16" s="36">
        <f>'C6 AVIACION AGRICOLA'!G13/'C6 AVIACION AGRICOLA'!G18</f>
        <v>3.6359717453414646</v>
      </c>
      <c r="H16" s="141">
        <f>'C6 AVIACION AGRICOLA'!H13/'C6 AVIACION AGRICOLA'!H18</f>
        <v>6.7154592520913035</v>
      </c>
      <c r="I16" s="141">
        <f>'C6 AVIACION AGRICOLA'!I13/'C6 AVIACION AGRICOLA'!I18</f>
        <v>5.287945981401962</v>
      </c>
      <c r="J16" s="36" t="e">
        <f>'C6 AVIACION AGRICOLA'!J13/'C6 AVIACION AGRICOLA'!J18</f>
        <v>#DIV/0!</v>
      </c>
      <c r="K16" s="36">
        <f>'C6 AVIACION AGRICOLA'!K13/'C6 AVIACION AGRICOLA'!K18</f>
        <v>1.3270865171855282</v>
      </c>
      <c r="L16" s="141">
        <f>'C6 AVIACION AGRICOLA'!L13/'C6 AVIACION AGRICOLA'!L18</f>
        <v>1.5244550698381212</v>
      </c>
      <c r="M16" s="141" t="e">
        <f>'C6 AVIACION AGRICOLA'!M13/'C6 AVIACION AGRICOLA'!M18</f>
        <v>#DIV/0!</v>
      </c>
      <c r="N16" s="36" t="e">
        <f>'C6 AVIACION AGRICOLA'!N13/'C6 AVIACION AGRICOLA'!N18</f>
        <v>#DIV/0!</v>
      </c>
      <c r="O16" s="36">
        <f>'C6 AVIACION AGRICOLA'!O13/'C6 AVIACION AGRICOLA'!O18</f>
        <v>1.2969983184110947</v>
      </c>
      <c r="P16" s="141">
        <f>'C6 AVIACION AGRICOLA'!P13/'C6 AVIACION AGRICOLA'!P18</f>
        <v>1.4102810694709345</v>
      </c>
      <c r="Q16" s="141">
        <f>'C6 AVIACION AGRICOLA'!Q13/'C6 AVIACION AGRICOLA'!Q18</f>
        <v>1.218252840909091</v>
      </c>
      <c r="R16" s="36">
        <f>'C6 AVIACION AGRICOLA'!R13/'C6 AVIACION AGRICOLA'!R18</f>
        <v>3.258780811395852</v>
      </c>
      <c r="S16" s="36">
        <f>'C6 AVIACION AGRICOLA'!S13/'C6 AVIACION AGRICOLA'!S18</f>
        <v>4.376721626274666</v>
      </c>
      <c r="T16" s="141">
        <f>'C6 AVIACION AGRICOLA'!T13/'C6 AVIACION AGRICOLA'!T18</f>
        <v>1.4713237450599486</v>
      </c>
      <c r="U16" s="141">
        <f>'C6 AVIACION AGRICOLA'!U13/'C6 AVIACION AGRICOLA'!U18</f>
        <v>1.2379036613385215</v>
      </c>
      <c r="V16" s="36" t="e">
        <f>'C6 AVIACION AGRICOLA'!V13/'C6 AVIACION AGRICOLA'!V18</f>
        <v>#DIV/0!</v>
      </c>
      <c r="W16" s="36">
        <f>'C6 AVIACION AGRICOLA'!W13/'C6 AVIACION AGRICOLA'!W18</f>
        <v>1.5690790544191762</v>
      </c>
      <c r="X16" s="141">
        <f>'C6 AVIACION AGRICOLA'!X13/'C6 AVIACION AGRICOLA'!X18</f>
        <v>1.6350200000579387</v>
      </c>
      <c r="Y16" s="141">
        <f>'C6 AVIACION AGRICOLA'!Y13/'C6 AVIACION AGRICOLA'!Y18</f>
        <v>1.6265879294966767</v>
      </c>
      <c r="Z16" s="36">
        <f>'C6 AVIACION AGRICOLA'!Z13/'C6 AVIACION AGRICOLA'!Z18</f>
        <v>1.332433827064382</v>
      </c>
      <c r="AA16" s="36" t="e">
        <f>'C6 AVIACION AGRICOLA'!AA13/'C6 AVIACION AGRICOLA'!AA18</f>
        <v>#DIV/0!</v>
      </c>
      <c r="AB16" s="141">
        <f>'C6 AVIACION AGRICOLA'!AB13/'C6 AVIACION AGRICOLA'!AB18</f>
        <v>1.5099315169366716</v>
      </c>
      <c r="AC16" s="36" t="e">
        <f>'C6 AVIACION AGRICOLA'!AC13/'C6 AVIACION AGRICOLA'!AC18</f>
        <v>#DIV/0!</v>
      </c>
      <c r="AD16" s="36" t="e">
        <f>'C6 AVIACION AGRICOLA'!AD13/'C6 AVIACION AGRICOLA'!AD18</f>
        <v>#DIV/0!</v>
      </c>
      <c r="AE16" s="141" t="e">
        <f>'C6 AVIACION AGRICOLA'!AE13/'C6 AVIACION AGRICOLA'!AE18</f>
        <v>#DIV/0!</v>
      </c>
      <c r="AF16" s="141">
        <f>'C6 AVIACION AGRICOLA'!AF13/'C6 AVIACION AGRICOLA'!AF18</f>
        <v>1.5515548839463045</v>
      </c>
      <c r="AG16" s="36">
        <f>'C6 AVIACION AGRICOLA'!AG13/'C6 AVIACION AGRICOLA'!AG18</f>
        <v>2.10601220823458</v>
      </c>
      <c r="AH16" s="36">
        <f>'C6 AVIACION AGRICOLA'!AH13/'C6 AVIACION AGRICOLA'!AH18</f>
        <v>1.7435402122293688</v>
      </c>
      <c r="AI16" s="141">
        <f>'C6 AVIACION AGRICOLA'!AI13/'C6 AVIACION AGRICOLA'!AI18</f>
        <v>1.9284399219380726</v>
      </c>
      <c r="AJ16" s="141">
        <f>'C6 AVIACION AGRICOLA'!AJ13/'C6 AVIACION AGRICOLA'!AJ18</f>
        <v>3.555374479081787</v>
      </c>
      <c r="AK16" s="36" t="e">
        <f>'C6 AVIACION AGRICOLA'!AK13/'C6 AVIACION AGRICOLA'!AK18</f>
        <v>#DIV/0!</v>
      </c>
      <c r="AL16" s="36" t="e">
        <f>'C6 AVIACION AGRICOLA'!AL13/'C6 AVIACION AGRICOLA'!AL18</f>
        <v>#DIV/0!</v>
      </c>
      <c r="AM16" s="141" t="e">
        <f>'C6 AVIACION AGRICOLA'!AM13/'C6 AVIACION AGRICOLA'!AM18</f>
        <v>#DIV/0!</v>
      </c>
      <c r="AN16" s="141" t="e">
        <f>'C6 AVIACION AGRICOLA'!AN13/'C6 AVIACION AGRICOLA'!AN18</f>
        <v>#DIV/0!</v>
      </c>
      <c r="AO16" s="36" t="e">
        <f>'C6 AVIACION AGRICOLA'!AO13/'C6 AVIACION AGRICOLA'!AO18</f>
        <v>#DIV/0!</v>
      </c>
      <c r="AP16" s="36" t="e">
        <f>'C6 AVIACION AGRICOLA'!AP13/'C6 AVIACION AGRICOLA'!AP18</f>
        <v>#DIV/0!</v>
      </c>
      <c r="AQ16" s="141">
        <f>'C6 AVIACION AGRICOLA'!AQ13/'C6 AVIACION AGRICOLA'!AQ18</f>
        <v>1.9174209116817278</v>
      </c>
      <c r="AR16" s="141">
        <f>'C6 AVIACION AGRICOLA'!AR13/'C6 AVIACION AGRICOLA'!AR18</f>
        <v>1.894724293319618</v>
      </c>
      <c r="AS16" s="36">
        <f>'C6 AVIACION AGRICOLA'!AS13/'C6 AVIACION AGRICOLA'!AS18</f>
        <v>1.7387919735377517</v>
      </c>
      <c r="AT16" s="36">
        <f>'C6 AVIACION AGRICOLA'!AT13/'C6 AVIACION AGRICOLA'!AT18</f>
        <v>1.9174851669016395</v>
      </c>
      <c r="AU16" s="141">
        <f>'C6 AVIACION AGRICOLA'!AU13/'C6 AVIACION AGRICOLA'!AU18</f>
        <v>5.909885870260114</v>
      </c>
      <c r="AV16" s="141">
        <f>'C6 AVIACION AGRICOLA'!AV13/'C6 AVIACION AGRICOLA'!AV18</f>
        <v>1.2655403109724666</v>
      </c>
      <c r="AW16" s="36" t="e">
        <f>'C6 AVIACION AGRICOLA'!AW13/'C6 AVIACION AGRICOLA'!AW18</f>
        <v>#DIV/0!</v>
      </c>
      <c r="AX16" s="36">
        <f>'C6 AVIACION AGRICOLA'!AX13/'C6 AVIACION AGRICOLA'!AX18</f>
        <v>1.331846153846154</v>
      </c>
      <c r="AY16" s="141">
        <f>'C6 AVIACION AGRICOLA'!AY13/'C6 AVIACION AGRICOLA'!AY18</f>
        <v>1.0323651452282159</v>
      </c>
      <c r="AZ16" s="141">
        <f>'C6 AVIACION AGRICOLA'!AZ13/'C6 AVIACION AGRICOLA'!AZ18</f>
        <v>1.2191401304898237</v>
      </c>
      <c r="BA16" s="36">
        <f>'C6 AVIACION AGRICOLA'!BA13/'C6 AVIACION AGRICOLA'!BA18</f>
        <v>12.142539456755534</v>
      </c>
      <c r="BB16" s="36">
        <f>'C6 AVIACION AGRICOLA'!BB13/'C6 AVIACION AGRICOLA'!BB18</f>
        <v>2.2454112850983816</v>
      </c>
      <c r="BC16" s="141">
        <f>'C6 AVIACION AGRICOLA'!BC13/'C6 AVIACION AGRICOLA'!BC18</f>
        <v>2.3589268378853157</v>
      </c>
      <c r="BD16" s="141">
        <f>'C6 AVIACION AGRICOLA'!BD13/'C6 AVIACION AGRICOLA'!BD18</f>
        <v>2.4898104697670274</v>
      </c>
      <c r="BE16" s="36" t="e">
        <f>'C6 AVIACION AGRICOLA'!BE13/'C6 AVIACION AGRICOLA'!BE18</f>
        <v>#DIV/0!</v>
      </c>
      <c r="BF16" s="36">
        <f>'C6 AVIACION AGRICOLA'!BF13/'C6 AVIACION AGRICOLA'!BF18</f>
        <v>2.1890698448209096</v>
      </c>
      <c r="BG16" s="141">
        <f>'C6 AVIACION AGRICOLA'!BG13/'C6 AVIACION AGRICOLA'!BG18</f>
        <v>4.967138567809132</v>
      </c>
      <c r="BH16" s="141">
        <f>'C6 AVIACION AGRICOLA'!BH13/'C6 AVIACION AGRICOLA'!BH18</f>
        <v>2.8965939730068135</v>
      </c>
      <c r="BI16" s="36" t="e">
        <f>'C6 AVIACION AGRICOLA'!BI13/'C6 AVIACION AGRICOLA'!BI18</f>
        <v>#DIV/0!</v>
      </c>
      <c r="BJ16" s="36" t="e">
        <f>'C6 AVIACION AGRICOLA'!BJ13/'C6 AVIACION AGRICOLA'!BJ18</f>
        <v>#DIV/0!</v>
      </c>
      <c r="BK16" s="141">
        <f>'C6 AVIACION AGRICOLA'!BK13/'C6 AVIACION AGRICOLA'!BK18</f>
        <v>11.304415750592057</v>
      </c>
      <c r="BL16" s="141">
        <f>'C6 AVIACION AGRICOLA'!BL13/'C6 AVIACION AGRICOLA'!BL18</f>
        <v>6.545279410523947</v>
      </c>
      <c r="BM16" s="36">
        <f>'C6 AVIACION AGRICOLA'!BM13/'C6 AVIACION AGRICOLA'!BM18</f>
        <v>0.22609391240548637</v>
      </c>
      <c r="BN16" s="36">
        <f>'C6 AVIACION AGRICOLA'!BN13/'C6 AVIACION AGRICOLA'!BN18</f>
        <v>0.6921664245882926</v>
      </c>
      <c r="BO16" s="141">
        <f>'C6 AVIACION AGRICOLA'!BO13/'C6 AVIACION AGRICOLA'!BO18</f>
        <v>3.0671099074300177</v>
      </c>
      <c r="BP16" s="141">
        <f>'C6 AVIACION AGRICOLA'!BP13/'C6 AVIACION AGRICOLA'!BP18</f>
        <v>2.891799388483295</v>
      </c>
      <c r="BQ16" s="36" t="e">
        <f>'C6 AVIACION AGRICOLA'!BQ13/'C6 AVIACION AGRICOLA'!BQ18</f>
        <v>#DIV/0!</v>
      </c>
      <c r="BR16" s="36" t="e">
        <f>'C6 AVIACION AGRICOLA'!BR13/'C6 AVIACION AGRICOLA'!BR18</f>
        <v>#DIV/0!</v>
      </c>
      <c r="BS16" s="141">
        <f>'C6 AVIACION AGRICOLA'!BS13/'C6 AVIACION AGRICOLA'!BS18</f>
        <v>1.4623587917964571</v>
      </c>
      <c r="BT16" s="141">
        <f>'C6 AVIACION AGRICOLA'!BT13/'C6 AVIACION AGRICOLA'!BT18</f>
        <v>2.1684405568218468</v>
      </c>
      <c r="BU16" s="36">
        <f>'C6 AVIACION AGRICOLA'!BU13/'C6 AVIACION AGRICOLA'!BU18</f>
        <v>38.47639704034711</v>
      </c>
      <c r="BV16" s="36">
        <f>'C6 AVIACION AGRICOLA'!BV13/'C6 AVIACION AGRICOLA'!BV18</f>
        <v>47.23384403951383</v>
      </c>
      <c r="BW16" s="141">
        <f>'C6 AVIACION AGRICOLA'!BW13/'C6 AVIACION AGRICOLA'!BW18</f>
        <v>57.94252708472013</v>
      </c>
      <c r="BX16" s="141">
        <f>'C6 AVIACION AGRICOLA'!BX13/'C6 AVIACION AGRICOLA'!BX18</f>
        <v>43.481870960674776</v>
      </c>
      <c r="BY16" s="36">
        <f>'C6 AVIACION AGRICOLA'!BY13/'C6 AVIACION AGRICOLA'!BY18</f>
        <v>3.3518605311362757</v>
      </c>
      <c r="BZ16" s="36">
        <f>'C6 AVIACION AGRICOLA'!BZ13/'C6 AVIACION AGRICOLA'!BZ18</f>
        <v>3.5637638487412326</v>
      </c>
      <c r="CA16" s="141">
        <f>'C6 AVIACION AGRICOLA'!CA13/'C6 AVIACION AGRICOLA'!CA18</f>
        <v>4.818375714175204</v>
      </c>
      <c r="CB16" s="141">
        <f>'C6 AVIACION AGRICOLA'!CB13/'C6 AVIACION AGRICOLA'!CB18</f>
        <v>3.663853593779632</v>
      </c>
      <c r="CC16" s="36" t="e">
        <f>'C6 AVIACION AGRICOLA'!CC13/'C6 AVIACION AGRICOLA'!CC18</f>
        <v>#DIV/0!</v>
      </c>
      <c r="CD16" s="36" t="e">
        <f>'C6 AVIACION AGRICOLA'!CD13/'C6 AVIACION AGRICOLA'!CD18</f>
        <v>#DIV/0!</v>
      </c>
      <c r="CE16" s="141">
        <f>'C6 AVIACION AGRICOLA'!CE13/'C6 AVIACION AGRICOLA'!CE18</f>
        <v>9.719376111839859</v>
      </c>
      <c r="CF16" s="141" t="e">
        <f>'C6 AVIACION AGRICOLA'!CF13/'C6 AVIACION AGRICOLA'!CF18</f>
        <v>#DIV/0!</v>
      </c>
      <c r="CG16" s="36">
        <f>'C6 AVIACION AGRICOLA'!CG13/'C6 AVIACION AGRICOLA'!CG18</f>
        <v>5.912058376638588</v>
      </c>
      <c r="CH16" s="36">
        <f>'C6 AVIACION AGRICOLA'!CH13/'C6 AVIACION AGRICOLA'!CH18</f>
        <v>3.982638144151813</v>
      </c>
      <c r="CI16" s="141">
        <f>'C6 AVIACION AGRICOLA'!CI13/'C6 AVIACION AGRICOLA'!CI18</f>
        <v>3.7592748549359642</v>
      </c>
      <c r="CJ16" s="141">
        <f>'C6 AVIACION AGRICOLA'!CJ13/'C6 AVIACION AGRICOLA'!CJ18</f>
        <v>4.461351538144815</v>
      </c>
      <c r="CK16" s="36" t="e">
        <f>'C6 AVIACION AGRICOLA'!CK13/'C6 AVIACION AGRICOLA'!CK18</f>
        <v>#DIV/0!</v>
      </c>
      <c r="CL16" s="36">
        <f>'C6 AVIACION AGRICOLA'!CL13/'C6 AVIACION AGRICOLA'!CL18</f>
        <v>2.1285939966240157</v>
      </c>
      <c r="CM16" s="141">
        <f>'C6 AVIACION AGRICOLA'!CM13/'C6 AVIACION AGRICOLA'!CM18</f>
        <v>1.964692424147785</v>
      </c>
      <c r="CN16" s="141">
        <f>'C6 AVIACION AGRICOLA'!CN13/'C6 AVIACION AGRICOLA'!CN18</f>
        <v>2.8266147022544157</v>
      </c>
      <c r="CO16" s="36" t="e">
        <f>'C6 AVIACION AGRICOLA'!CO13/'C6 AVIACION AGRICOLA'!CO18</f>
        <v>#DIV/0!</v>
      </c>
      <c r="CP16" s="36">
        <f>'C6 AVIACION AGRICOLA'!CP13/'C6 AVIACION AGRICOLA'!CP18</f>
        <v>4.87611228174959</v>
      </c>
      <c r="CQ16" s="141" t="e">
        <f>'C6 AVIACION AGRICOLA'!CQ13/'C6 AVIACION AGRICOLA'!CQ18</f>
        <v>#DIV/0!</v>
      </c>
      <c r="CR16" s="36" t="e">
        <f>'C6 AVIACION AGRICOLA'!CR13/'C6 AVIACION AGRICOLA'!CR18</f>
        <v>#DIV/0!</v>
      </c>
      <c r="CS16" s="36" t="e">
        <f>'C6 AVIACION AGRICOLA'!CS13/'C6 AVIACION AGRICOLA'!CS18</f>
        <v>#DIV/0!</v>
      </c>
      <c r="CT16" s="141" t="e">
        <f>'C6 AVIACION AGRICOLA'!CT13/'C6 AVIACION AGRICOLA'!CT18</f>
        <v>#DIV/0!</v>
      </c>
      <c r="CU16" s="141">
        <f>'C6 AVIACION AGRICOLA'!CU13/'C6 AVIACION AGRICOLA'!CU18</f>
        <v>1.558578043515476</v>
      </c>
      <c r="CV16" s="36">
        <f>'C6 AVIACION AGRICOLA'!CV13/'C6 AVIACION AGRICOLA'!CV18</f>
        <v>1.3843168099076804</v>
      </c>
      <c r="CW16" s="36">
        <f>'C6 AVIACION AGRICOLA'!CW13/'C6 AVIACION AGRICOLA'!CW18</f>
        <v>1.3643396577849973</v>
      </c>
      <c r="CX16" s="141">
        <f>'C6 AVIACION AGRICOLA'!CX13/'C6 AVIACION AGRICOLA'!CX18</f>
        <v>1.8173973044417229</v>
      </c>
      <c r="CY16" s="141">
        <f>'C6 AVIACION AGRICOLA'!CY13/'C6 AVIACION AGRICOLA'!CY18</f>
        <v>414.43758043758044</v>
      </c>
      <c r="CZ16" s="36" t="e">
        <f>'C6 AVIACION AGRICOLA'!CZ13/'C6 AVIACION AGRICOLA'!CZ18</f>
        <v>#DIV/0!</v>
      </c>
      <c r="DA16" s="36">
        <f>'C6 AVIACION AGRICOLA'!DA13/'C6 AVIACION AGRICOLA'!DA18</f>
        <v>9.373971965870087</v>
      </c>
      <c r="DB16" s="141">
        <f>'C6 AVIACION AGRICOLA'!DB13/'C6 AVIACION AGRICOLA'!DB18</f>
        <v>16.875157257562982</v>
      </c>
      <c r="DC16" s="141">
        <f>'C6 AVIACION AGRICOLA'!DC13/'C6 AVIACION AGRICOLA'!DC18</f>
        <v>6.442133725583508</v>
      </c>
      <c r="DD16" s="36">
        <f>'C6 AVIACION AGRICOLA'!DD13/'C6 AVIACION AGRICOLA'!DD18</f>
        <v>3.02184125357981</v>
      </c>
      <c r="DE16" s="36">
        <f>'C6 AVIACION AGRICOLA'!DE13/'C6 AVIACION AGRICOLA'!DE18</f>
        <v>3.635143820409222</v>
      </c>
      <c r="DF16" s="141">
        <f>'C6 AVIACION AGRICOLA'!DF13/'C6 AVIACION AGRICOLA'!DF18</f>
        <v>2.724849118922029</v>
      </c>
      <c r="DG16" s="141">
        <f>'C6 AVIACION AGRICOLA'!DG13/'C6 AVIACION AGRICOLA'!DG18</f>
        <v>3.178775392000707</v>
      </c>
      <c r="DH16" s="36" t="e">
        <f>'C6 AVIACION AGRICOLA'!DH13/'C6 AVIACION AGRICOLA'!DH18</f>
        <v>#DIV/0!</v>
      </c>
      <c r="DI16" s="36" t="e">
        <f>'C6 AVIACION AGRICOLA'!DI13/'C6 AVIACION AGRICOLA'!DI18</f>
        <v>#DIV/0!</v>
      </c>
      <c r="DJ16" s="141" t="e">
        <f>'C6 AVIACION AGRICOLA'!DJ13/'C6 AVIACION AGRICOLA'!DJ18</f>
        <v>#DIV/0!</v>
      </c>
      <c r="DK16" s="141" t="e">
        <f>'C6 AVIACION AGRICOLA'!DK13/'C6 AVIACION AGRICOLA'!DK18</f>
        <v>#DIV/0!</v>
      </c>
      <c r="DL16" s="36">
        <f>'C6 AVIACION AGRICOLA'!DL13/'C6 AVIACION AGRICOLA'!DL18</f>
        <v>3.2254153410140636</v>
      </c>
      <c r="DM16" s="36" t="e">
        <f>'C6 AVIACION AGRICOLA'!DM13/'C6 AVIACION AGRICOLA'!DM18</f>
        <v>#DIV/0!</v>
      </c>
      <c r="DN16" s="141" t="e">
        <f>'C6 AVIACION AGRICOLA'!DN13/'C6 AVIACION AGRICOLA'!DN18</f>
        <v>#DIV/0!</v>
      </c>
      <c r="DO16" s="141" t="e">
        <f>'C6 AVIACION AGRICOLA'!DO13/'C6 AVIACION AGRICOLA'!DO18</f>
        <v>#DIV/0!</v>
      </c>
      <c r="DP16" s="36" t="e">
        <f>'C6 AVIACION AGRICOLA'!DP13/'C6 AVIACION AGRICOLA'!DP18</f>
        <v>#DIV/0!</v>
      </c>
      <c r="DQ16" s="36">
        <f>'C6 AVIACION AGRICOLA'!DQ13/'C6 AVIACION AGRICOLA'!DQ18</f>
        <v>4.589802754000744</v>
      </c>
      <c r="DR16" s="141">
        <f>'C6 AVIACION AGRICOLA'!DR13/'C6 AVIACION AGRICOLA'!DR18</f>
        <v>4.752734797171566</v>
      </c>
      <c r="DS16" s="141" t="e">
        <f>'C6 AVIACION AGRICOLA'!DS13/'C6 AVIACION AGRICOLA'!DS18</f>
        <v>#DIV/0!</v>
      </c>
      <c r="DT16" s="36" t="e">
        <f>'C6 AVIACION AGRICOLA'!DT13/'C6 AVIACION AGRICOLA'!DT18</f>
        <v>#DIV/0!</v>
      </c>
      <c r="DU16" s="36">
        <f>'C6 AVIACION AGRICOLA'!DU13/'C6 AVIACION AGRICOLA'!DU18</f>
        <v>1.514658646730952</v>
      </c>
      <c r="DV16" s="141">
        <f>'C6 AVIACION AGRICOLA'!DV13/'C6 AVIACION AGRICOLA'!DV18</f>
        <v>2.049977454703282</v>
      </c>
      <c r="DW16" s="141" t="e">
        <f>'C6 AVIACION AGRICOLA'!DW13/'C6 AVIACION AGRICOLA'!DW18</f>
        <v>#DIV/0!</v>
      </c>
      <c r="DX16" s="36" t="e">
        <f>'C6 AVIACION AGRICOLA'!DX13/'C6 AVIACION AGRICOLA'!DX18</f>
        <v>#DIV/0!</v>
      </c>
      <c r="DY16" s="36">
        <f>'C6 AVIACION AGRICOLA'!DY13/'C6 AVIACION AGRICOLA'!DY18</f>
        <v>4.722302077307397</v>
      </c>
      <c r="DZ16" s="141">
        <f>'C6 AVIACION AGRICOLA'!DZ13/'C6 AVIACION AGRICOLA'!DZ18</f>
        <v>2.875410603613267</v>
      </c>
      <c r="EA16" s="141">
        <f>'C6 AVIACION AGRICOLA'!EA13/'C6 AVIACION AGRICOLA'!EA18</f>
        <v>3.409023761235885</v>
      </c>
      <c r="EB16" s="36" t="e">
        <f>'C6 AVIACION AGRICOLA'!EB13/'C6 AVIACION AGRICOLA'!EB18</f>
        <v>#DIV/0!</v>
      </c>
      <c r="EC16" s="36">
        <f>'C6 AVIACION AGRICOLA'!EC13/'C6 AVIACION AGRICOLA'!EC18</f>
        <v>1.5937509153122298</v>
      </c>
      <c r="ED16" s="141">
        <f>'C6 AVIACION AGRICOLA'!ED13/'C6 AVIACION AGRICOLA'!ED18</f>
        <v>1.5880875416060392</v>
      </c>
      <c r="EE16" s="141">
        <f>'C6 AVIACION AGRICOLA'!EE13/'C6 AVIACION AGRICOLA'!EE18</f>
        <v>1.5778233189188409</v>
      </c>
      <c r="EF16" s="36">
        <f>'C6 AVIACION AGRICOLA'!EF13/'C6 AVIACION AGRICOLA'!EF18</f>
        <v>2.787446773895027</v>
      </c>
      <c r="EG16" s="36">
        <f>'C6 AVIACION AGRICOLA'!EG13/'C6 AVIACION AGRICOLA'!EG18</f>
        <v>2.2318730615181015</v>
      </c>
      <c r="EH16" s="141">
        <f>'C6 AVIACION AGRICOLA'!EH13/'C6 AVIACION AGRICOLA'!EH18</f>
        <v>2.0430506700440985</v>
      </c>
      <c r="EI16" s="141">
        <f>'C6 AVIACION AGRICOLA'!EI13/'C6 AVIACION AGRICOLA'!EI18</f>
        <v>2.0863320121045597</v>
      </c>
      <c r="EJ16" s="36">
        <f>'C6 AVIACION AGRICOLA'!EJ13/'C6 AVIACION AGRICOLA'!EJ18</f>
        <v>4.6756085775931115</v>
      </c>
      <c r="EK16" s="36">
        <f>'C6 AVIACION AGRICOLA'!EK13/'C6 AVIACION AGRICOLA'!EK18</f>
        <v>6.171308689249604</v>
      </c>
      <c r="EL16" s="141">
        <f>'C6 AVIACION AGRICOLA'!EL13/'C6 AVIACION AGRICOLA'!EL18</f>
        <v>8.365965265207043</v>
      </c>
      <c r="EM16" s="141">
        <f>'C6 AVIACION AGRICOLA'!EM13/'C6 AVIACION AGRICOLA'!EM18</f>
        <v>5.113153745972993</v>
      </c>
      <c r="EN16" s="36">
        <f>'C6 AVIACION AGRICOLA'!EN13/'C6 AVIACION AGRICOLA'!EN18</f>
        <v>1.7831523707474701</v>
      </c>
      <c r="EO16" s="36">
        <f>'C6 AVIACION AGRICOLA'!EO13/'C6 AVIACION AGRICOLA'!EO18</f>
        <v>1.738920361904945</v>
      </c>
      <c r="EP16" s="141">
        <f>'C6 AVIACION AGRICOLA'!EP13/'C6 AVIACION AGRICOLA'!EP18</f>
        <v>1.7354251977533006</v>
      </c>
      <c r="EQ16" s="141" t="e">
        <f>'C6 AVIACION AGRICOLA'!EQ13/'C6 AVIACION AGRICOLA'!EQ18</f>
        <v>#DIV/0!</v>
      </c>
      <c r="ER16" s="36" t="e">
        <f>'C6 AVIACION AGRICOLA'!ER13/'C6 AVIACION AGRICOLA'!ER18</f>
        <v>#DIV/0!</v>
      </c>
      <c r="ES16" s="36" t="e">
        <f>'C6 AVIACION AGRICOLA'!ES13/'C6 AVIACION AGRICOLA'!ES18</f>
        <v>#DIV/0!</v>
      </c>
      <c r="ET16" s="141">
        <f>'C6 AVIACION AGRICOLA'!ET13/'C6 AVIACION AGRICOLA'!ET18</f>
        <v>4.572411861218272</v>
      </c>
      <c r="EU16" s="141">
        <f>'C6 AVIACION AGRICOLA'!EU13/'C6 AVIACION AGRICOLA'!EU18</f>
        <v>1.7592054115270424</v>
      </c>
      <c r="EV16" s="36">
        <f>'C6 AVIACION AGRICOLA'!EV13/'C6 AVIACION AGRICOLA'!EV18</f>
        <v>1.6771653390734398</v>
      </c>
      <c r="EW16" s="36">
        <f>'C6 AVIACION AGRICOLA'!EW13/'C6 AVIACION AGRICOLA'!EW18</f>
        <v>1.889755548615931</v>
      </c>
      <c r="EX16" s="141">
        <f>'C6 AVIACION AGRICOLA'!EX13/'C6 AVIACION AGRICOLA'!EX18</f>
        <v>1.5544818129117879</v>
      </c>
      <c r="EY16" s="141">
        <f>'C6 AVIACION AGRICOLA'!EY13/'C6 AVIACION AGRICOLA'!EY18</f>
        <v>1.553238051917374</v>
      </c>
      <c r="EZ16" s="36" t="e">
        <f>'C6 AVIACION AGRICOLA'!EZ13/'C6 AVIACION AGRICOLA'!EZ18</f>
        <v>#DIV/0!</v>
      </c>
      <c r="FA16" s="36">
        <f>'C6 AVIACION AGRICOLA'!FA13/'C6 AVIACION AGRICOLA'!FA18</f>
        <v>2.2418725887747244</v>
      </c>
      <c r="FB16" s="141">
        <f>'C6 AVIACION AGRICOLA'!FB13/'C6 AVIACION AGRICOLA'!FB18</f>
        <v>1.9656988020851829</v>
      </c>
      <c r="FC16" s="141" t="e">
        <f>'C6 AVIACION AGRICOLA'!FC13/'C6 AVIACION AGRICOLA'!FC18</f>
        <v>#DIV/0!</v>
      </c>
      <c r="FD16" s="36">
        <f>'C6 AVIACION AGRICOLA'!FD13/'C6 AVIACION AGRICOLA'!FD18</f>
        <v>3.222436090225564</v>
      </c>
      <c r="FE16" s="36" t="e">
        <f>'C6 AVIACION AGRICOLA'!FE13/'C6 AVIACION AGRICOLA'!FE18</f>
        <v>#DIV/0!</v>
      </c>
      <c r="FF16" s="143" t="e">
        <f>'C6 AVIACION AGRICOLA'!FF13/'C6 AVIACION AGRICOLA'!FF18</f>
        <v>#DIV/0!</v>
      </c>
      <c r="FG16" s="141" t="e">
        <f>'C6 AVIACION AGRICOLA'!FG13/'C6 AVIACION AGRICOLA'!FG18</f>
        <v>#DIV/0!</v>
      </c>
      <c r="FH16" s="36">
        <f>'C6 AVIACION AGRICOLA'!FH13/'C6 AVIACION AGRICOLA'!FH18</f>
        <v>1.6226180277755387</v>
      </c>
      <c r="FI16" s="36" t="e">
        <f>'C6 AVIACION AGRICOLA'!FI13/'C6 AVIACION AGRICOLA'!FI18</f>
        <v>#DIV/0!</v>
      </c>
      <c r="FJ16" s="141" t="e">
        <f>'C6 AVIACION AGRICOLA'!FJ13/'C6 AVIACION AGRICOLA'!FJ18</f>
        <v>#DIV/0!</v>
      </c>
      <c r="FK16" s="141">
        <f>'C6 AVIACION AGRICOLA'!FK13/'C6 AVIACION AGRICOLA'!FK18</f>
        <v>1.7822092696643252</v>
      </c>
      <c r="FL16" s="36" t="e">
        <f>'C6 AVIACION AGRICOLA'!FL13/'C6 AVIACION AGRICOLA'!FL18</f>
        <v>#DIV/0!</v>
      </c>
      <c r="FM16" s="36" t="e">
        <f>'C6 AVIACION AGRICOLA'!FM13/'C6 AVIACION AGRICOLA'!FM18</f>
        <v>#DIV/0!</v>
      </c>
      <c r="FN16" s="141" t="e">
        <f>'C6 AVIACION AGRICOLA'!FN13/'C6 AVIACION AGRICOLA'!FN18</f>
        <v>#DIV/0!</v>
      </c>
      <c r="FO16" s="141">
        <f>'C6 AVIACION AGRICOLA'!FO13/'C6 AVIACION AGRICOLA'!FO18</f>
        <v>4.179159284590184</v>
      </c>
    </row>
    <row r="17" spans="1:171" ht="12.75">
      <c r="A17" s="41" t="s">
        <v>58</v>
      </c>
      <c r="B17" s="36">
        <f>'C6 AVIACION AGRICOLA'!B13/'C6 AVIACION AGRICOLA'!B15</f>
        <v>4.704090069856857</v>
      </c>
      <c r="C17" s="36">
        <f>'C6 AVIACION AGRICOLA'!C13/'C6 AVIACION AGRICOLA'!C15</f>
        <v>2.13904372265885</v>
      </c>
      <c r="D17" s="141">
        <f>'C6 AVIACION AGRICOLA'!D13/'C6 AVIACION AGRICOLA'!D15</f>
        <v>2.8193554910930394</v>
      </c>
      <c r="E17" s="141">
        <f>'C6 AVIACION AGRICOLA'!E13/'C6 AVIACION AGRICOLA'!E15</f>
        <v>4.163538326552729</v>
      </c>
      <c r="F17" s="36">
        <f>'C6 AVIACION AGRICOLA'!F13/'C6 AVIACION AGRICOLA'!F15</f>
        <v>6.798499366019701</v>
      </c>
      <c r="G17" s="36">
        <f>'C6 AVIACION AGRICOLA'!G13/'C6 AVIACION AGRICOLA'!G15</f>
        <v>6.1281774375570635</v>
      </c>
      <c r="H17" s="141">
        <f>'C6 AVIACION AGRICOLA'!H13/'C6 AVIACION AGRICOLA'!H15</f>
        <v>11.579560489364729</v>
      </c>
      <c r="I17" s="141">
        <f>'C6 AVIACION AGRICOLA'!I13/'C6 AVIACION AGRICOLA'!I15</f>
        <v>8.546190187948634</v>
      </c>
      <c r="J17" s="36" t="e">
        <f>'C6 AVIACION AGRICOLA'!J13/'C6 AVIACION AGRICOLA'!J15</f>
        <v>#DIV/0!</v>
      </c>
      <c r="K17" s="36">
        <f>'C6 AVIACION AGRICOLA'!K13/'C6 AVIACION AGRICOLA'!K15</f>
        <v>2.130468716275882</v>
      </c>
      <c r="L17" s="141">
        <f>'C6 AVIACION AGRICOLA'!L13/'C6 AVIACION AGRICOLA'!L15</f>
        <v>1.6657383899854896</v>
      </c>
      <c r="M17" s="141" t="e">
        <f>'C6 AVIACION AGRICOLA'!M13/'C6 AVIACION AGRICOLA'!M15</f>
        <v>#DIV/0!</v>
      </c>
      <c r="N17" s="36" t="e">
        <f>'C6 AVIACION AGRICOLA'!N13/'C6 AVIACION AGRICOLA'!N15</f>
        <v>#DIV/0!</v>
      </c>
      <c r="O17" s="36">
        <f>'C6 AVIACION AGRICOLA'!O13/'C6 AVIACION AGRICOLA'!O15</f>
        <v>1.2969983184110947</v>
      </c>
      <c r="P17" s="141">
        <f>'C6 AVIACION AGRICOLA'!P13/'C6 AVIACION AGRICOLA'!P15</f>
        <v>1.7000071747360999</v>
      </c>
      <c r="Q17" s="141">
        <f>'C6 AVIACION AGRICOLA'!Q13/'C6 AVIACION AGRICOLA'!Q15</f>
        <v>1.218252840909091</v>
      </c>
      <c r="R17" s="36">
        <f>'C6 AVIACION AGRICOLA'!R13/'C6 AVIACION AGRICOLA'!R15</f>
        <v>3.258780811395852</v>
      </c>
      <c r="S17" s="36">
        <f>'C6 AVIACION AGRICOLA'!S13/'C6 AVIACION AGRICOLA'!S15</f>
        <v>4.376721626274666</v>
      </c>
      <c r="T17" s="141">
        <f>'C6 AVIACION AGRICOLA'!T13/'C6 AVIACION AGRICOLA'!T15</f>
        <v>1.4713237450599486</v>
      </c>
      <c r="U17" s="141">
        <f>'C6 AVIACION AGRICOLA'!U13/'C6 AVIACION AGRICOLA'!U15</f>
        <v>1.2379036613385215</v>
      </c>
      <c r="V17" s="36" t="e">
        <f>'C6 AVIACION AGRICOLA'!V13/'C6 AVIACION AGRICOLA'!V15</f>
        <v>#DIV/0!</v>
      </c>
      <c r="W17" s="36">
        <f>'C6 AVIACION AGRICOLA'!W13/'C6 AVIACION AGRICOLA'!W15</f>
        <v>1.5690790544191762</v>
      </c>
      <c r="X17" s="141">
        <f>'C6 AVIACION AGRICOLA'!X13/'C6 AVIACION AGRICOLA'!X15</f>
        <v>1.8995903308524915</v>
      </c>
      <c r="Y17" s="141">
        <f>'C6 AVIACION AGRICOLA'!Y13/'C6 AVIACION AGRICOLA'!Y15</f>
        <v>1.6265879294966767</v>
      </c>
      <c r="Z17" s="36">
        <f>'C6 AVIACION AGRICOLA'!Z13/'C6 AVIACION AGRICOLA'!Z15</f>
        <v>1.332433827064382</v>
      </c>
      <c r="AA17" s="36" t="e">
        <f>'C6 AVIACION AGRICOLA'!AA13/'C6 AVIACION AGRICOLA'!AA15</f>
        <v>#DIV/0!</v>
      </c>
      <c r="AB17" s="141">
        <f>'C6 AVIACION AGRICOLA'!AB13/'C6 AVIACION AGRICOLA'!AB15</f>
        <v>2.2324762297750307</v>
      </c>
      <c r="AC17" s="36" t="e">
        <f>'C6 AVIACION AGRICOLA'!AC13/'C6 AVIACION AGRICOLA'!AC15</f>
        <v>#DIV/0!</v>
      </c>
      <c r="AD17" s="36" t="e">
        <f>'C6 AVIACION AGRICOLA'!AD13/'C6 AVIACION AGRICOLA'!AD15</f>
        <v>#DIV/0!</v>
      </c>
      <c r="AE17" s="141" t="e">
        <f>'C6 AVIACION AGRICOLA'!AE13/'C6 AVIACION AGRICOLA'!AE15</f>
        <v>#DIV/0!</v>
      </c>
      <c r="AF17" s="141">
        <f>'C6 AVIACION AGRICOLA'!AF13/'C6 AVIACION AGRICOLA'!AF15</f>
        <v>3.4117986457449794</v>
      </c>
      <c r="AG17" s="36" t="e">
        <f>'C6 AVIACION AGRICOLA'!AG13/'C6 AVIACION AGRICOLA'!AG15</f>
        <v>#DIV/0!</v>
      </c>
      <c r="AH17" s="36">
        <f>'C6 AVIACION AGRICOLA'!AH13/'C6 AVIACION AGRICOLA'!AH15</f>
        <v>1.763972768059412</v>
      </c>
      <c r="AI17" s="141">
        <f>'C6 AVIACION AGRICOLA'!AI13/'C6 AVIACION AGRICOLA'!AI15</f>
        <v>1.9598850984133127</v>
      </c>
      <c r="AJ17" s="141">
        <f>'C6 AVIACION AGRICOLA'!AJ13/'C6 AVIACION AGRICOLA'!AJ15</f>
        <v>3.555374479081787</v>
      </c>
      <c r="AK17" s="36" t="e">
        <f>'C6 AVIACION AGRICOLA'!AK13/'C6 AVIACION AGRICOLA'!AK15</f>
        <v>#DIV/0!</v>
      </c>
      <c r="AL17" s="36" t="e">
        <f>'C6 AVIACION AGRICOLA'!AL13/'C6 AVIACION AGRICOLA'!AL15</f>
        <v>#DIV/0!</v>
      </c>
      <c r="AM17" s="141" t="e">
        <f>'C6 AVIACION AGRICOLA'!AM13/'C6 AVIACION AGRICOLA'!AM15</f>
        <v>#DIV/0!</v>
      </c>
      <c r="AN17" s="141" t="e">
        <f>'C6 AVIACION AGRICOLA'!AN13/'C6 AVIACION AGRICOLA'!AN15</f>
        <v>#DIV/0!</v>
      </c>
      <c r="AO17" s="36" t="e">
        <f>'C6 AVIACION AGRICOLA'!AO13/'C6 AVIACION AGRICOLA'!AO15</f>
        <v>#DIV/0!</v>
      </c>
      <c r="AP17" s="36" t="e">
        <f>'C6 AVIACION AGRICOLA'!AP13/'C6 AVIACION AGRICOLA'!AP15</f>
        <v>#DIV/0!</v>
      </c>
      <c r="AQ17" s="141">
        <f>'C6 AVIACION AGRICOLA'!AQ13/'C6 AVIACION AGRICOLA'!AQ15</f>
        <v>1.9174209116817278</v>
      </c>
      <c r="AR17" s="141">
        <f>'C6 AVIACION AGRICOLA'!AR13/'C6 AVIACION AGRICOLA'!AR15</f>
        <v>1.894724293319618</v>
      </c>
      <c r="AS17" s="36">
        <f>'C6 AVIACION AGRICOLA'!AS13/'C6 AVIACION AGRICOLA'!AS15</f>
        <v>12.624181865505355</v>
      </c>
      <c r="AT17" s="36">
        <f>'C6 AVIACION AGRICOLA'!AT13/'C6 AVIACION AGRICOLA'!AT15</f>
        <v>11.984725762547171</v>
      </c>
      <c r="AU17" s="141">
        <f>'C6 AVIACION AGRICOLA'!AU13/'C6 AVIACION AGRICOLA'!AU15</f>
        <v>5.909885870260114</v>
      </c>
      <c r="AV17" s="141">
        <f>'C6 AVIACION AGRICOLA'!AV13/'C6 AVIACION AGRICOLA'!AV15</f>
        <v>1.2655403109724666</v>
      </c>
      <c r="AW17" s="36" t="e">
        <f>'C6 AVIACION AGRICOLA'!AW13/'C6 AVIACION AGRICOLA'!AW15</f>
        <v>#DIV/0!</v>
      </c>
      <c r="AX17" s="36">
        <f>'C6 AVIACION AGRICOLA'!AX13/'C6 AVIACION AGRICOLA'!AX15</f>
        <v>1.331846153846154</v>
      </c>
      <c r="AY17" s="141">
        <f>'C6 AVIACION AGRICOLA'!AY13/'C6 AVIACION AGRICOLA'!AY15</f>
        <v>1.0323651452282159</v>
      </c>
      <c r="AZ17" s="141">
        <f>'C6 AVIACION AGRICOLA'!AZ13/'C6 AVIACION AGRICOLA'!AZ15</f>
        <v>1.2191401304898237</v>
      </c>
      <c r="BA17" s="36">
        <f>'C6 AVIACION AGRICOLA'!BA13/'C6 AVIACION AGRICOLA'!BA15</f>
        <v>23.039521321692902</v>
      </c>
      <c r="BB17" s="36">
        <f>'C6 AVIACION AGRICOLA'!BB13/'C6 AVIACION AGRICOLA'!BB15</f>
        <v>2.2663727237578497</v>
      </c>
      <c r="BC17" s="141">
        <f>'C6 AVIACION AGRICOLA'!BC13/'C6 AVIACION AGRICOLA'!BC15</f>
        <v>2.594547623410485</v>
      </c>
      <c r="BD17" s="141">
        <f>'C6 AVIACION AGRICOLA'!BD13/'C6 AVIACION AGRICOLA'!BD15</f>
        <v>2.9131928432313123</v>
      </c>
      <c r="BE17" s="36" t="e">
        <f>'C6 AVIACION AGRICOLA'!BE13/'C6 AVIACION AGRICOLA'!BE15</f>
        <v>#DIV/0!</v>
      </c>
      <c r="BF17" s="36">
        <f>'C6 AVIACION AGRICOLA'!BF13/'C6 AVIACION AGRICOLA'!BF15</f>
        <v>2.1890698448209096</v>
      </c>
      <c r="BG17" s="141">
        <f>'C6 AVIACION AGRICOLA'!BG13/'C6 AVIACION AGRICOLA'!BG15</f>
        <v>4.967138567809132</v>
      </c>
      <c r="BH17" s="141">
        <f>'C6 AVIACION AGRICOLA'!BH13/'C6 AVIACION AGRICOLA'!BH15</f>
        <v>2.8965939730068135</v>
      </c>
      <c r="BI17" s="36" t="e">
        <f>'C6 AVIACION AGRICOLA'!BI13/'C6 AVIACION AGRICOLA'!BI15</f>
        <v>#DIV/0!</v>
      </c>
      <c r="BJ17" s="36" t="e">
        <f>'C6 AVIACION AGRICOLA'!BJ13/'C6 AVIACION AGRICOLA'!BJ15</f>
        <v>#DIV/0!</v>
      </c>
      <c r="BK17" s="141">
        <f>'C6 AVIACION AGRICOLA'!BK13/'C6 AVIACION AGRICOLA'!BK15</f>
        <v>11.304415750592057</v>
      </c>
      <c r="BL17" s="141">
        <f>'C6 AVIACION AGRICOLA'!BL13/'C6 AVIACION AGRICOLA'!BL15</f>
        <v>6.545279410523947</v>
      </c>
      <c r="BM17" s="36">
        <f>'C6 AVIACION AGRICOLA'!BM13/'C6 AVIACION AGRICOLA'!BM15</f>
        <v>0.3065570171225047</v>
      </c>
      <c r="BN17" s="36">
        <f>'C6 AVIACION AGRICOLA'!BN13/'C6 AVIACION AGRICOLA'!BN15</f>
        <v>0.9154996760808648</v>
      </c>
      <c r="BO17" s="141">
        <f>'C6 AVIACION AGRICOLA'!BO13/'C6 AVIACION AGRICOLA'!BO15</f>
        <v>3.121330276185948</v>
      </c>
      <c r="BP17" s="141">
        <f>'C6 AVIACION AGRICOLA'!BP13/'C6 AVIACION AGRICOLA'!BP15</f>
        <v>3.5032869640557873</v>
      </c>
      <c r="BQ17" s="36" t="e">
        <f>'C6 AVIACION AGRICOLA'!BQ13/'C6 AVIACION AGRICOLA'!BQ15</f>
        <v>#DIV/0!</v>
      </c>
      <c r="BR17" s="36" t="e">
        <f>'C6 AVIACION AGRICOLA'!BR13/'C6 AVIACION AGRICOLA'!BR15</f>
        <v>#DIV/0!</v>
      </c>
      <c r="BS17" s="141">
        <f>'C6 AVIACION AGRICOLA'!BS13/'C6 AVIACION AGRICOLA'!BS15</f>
        <v>1.603696854505916</v>
      </c>
      <c r="BT17" s="141">
        <f>'C6 AVIACION AGRICOLA'!BT13/'C6 AVIACION AGRICOLA'!BT15</f>
        <v>2.249393177995882</v>
      </c>
      <c r="BU17" s="36">
        <f>'C6 AVIACION AGRICOLA'!BU13/'C6 AVIACION AGRICOLA'!BU15</f>
        <v>38.47639704034711</v>
      </c>
      <c r="BV17" s="36">
        <f>'C6 AVIACION AGRICOLA'!BV13/'C6 AVIACION AGRICOLA'!BV15</f>
        <v>47.23384403951383</v>
      </c>
      <c r="BW17" s="141">
        <f>'C6 AVIACION AGRICOLA'!BW13/'C6 AVIACION AGRICOLA'!BW15</f>
        <v>57.94252708472013</v>
      </c>
      <c r="BX17" s="141">
        <f>'C6 AVIACION AGRICOLA'!BX13/'C6 AVIACION AGRICOLA'!BX15</f>
        <v>43.481870960674776</v>
      </c>
      <c r="BY17" s="36">
        <f>'C6 AVIACION AGRICOLA'!BY13/'C6 AVIACION AGRICOLA'!BY15</f>
        <v>3.377756388598868</v>
      </c>
      <c r="BZ17" s="36">
        <f>'C6 AVIACION AGRICOLA'!BZ13/'C6 AVIACION AGRICOLA'!BZ15</f>
        <v>3.592483040068852</v>
      </c>
      <c r="CA17" s="141">
        <f>'C6 AVIACION AGRICOLA'!CA13/'C6 AVIACION AGRICOLA'!CA15</f>
        <v>4.818375714175204</v>
      </c>
      <c r="CB17" s="141">
        <f>'C6 AVIACION AGRICOLA'!CB13/'C6 AVIACION AGRICOLA'!CB15</f>
        <v>3.663853593779632</v>
      </c>
      <c r="CC17" s="36" t="e">
        <f>'C6 AVIACION AGRICOLA'!CC13/'C6 AVIACION AGRICOLA'!CC15</f>
        <v>#DIV/0!</v>
      </c>
      <c r="CD17" s="36" t="e">
        <f>'C6 AVIACION AGRICOLA'!CD13/'C6 AVIACION AGRICOLA'!CD15</f>
        <v>#DIV/0!</v>
      </c>
      <c r="CE17" s="141">
        <f>'C6 AVIACION AGRICOLA'!CE13/'C6 AVIACION AGRICOLA'!CE15</f>
        <v>9.719376111839859</v>
      </c>
      <c r="CF17" s="141" t="e">
        <f>'C6 AVIACION AGRICOLA'!CF13/'C6 AVIACION AGRICOLA'!CF15</f>
        <v>#DIV/0!</v>
      </c>
      <c r="CG17" s="36" t="e">
        <f>'C6 AVIACION AGRICOLA'!CG13/'C6 AVIACION AGRICOLA'!CG15</f>
        <v>#DIV/0!</v>
      </c>
      <c r="CH17" s="36">
        <f>'C6 AVIACION AGRICOLA'!CH13/'C6 AVIACION AGRICOLA'!CH15</f>
        <v>3.982638144151813</v>
      </c>
      <c r="CI17" s="141">
        <f>'C6 AVIACION AGRICOLA'!CI13/'C6 AVIACION AGRICOLA'!CI15</f>
        <v>3.7592748549359642</v>
      </c>
      <c r="CJ17" s="141">
        <f>'C6 AVIACION AGRICOLA'!CJ13/'C6 AVIACION AGRICOLA'!CJ15</f>
        <v>4.461351538144815</v>
      </c>
      <c r="CK17" s="36" t="e">
        <f>'C6 AVIACION AGRICOLA'!CK13/'C6 AVIACION AGRICOLA'!CK15</f>
        <v>#DIV/0!</v>
      </c>
      <c r="CL17" s="36">
        <f>'C6 AVIACION AGRICOLA'!CL13/'C6 AVIACION AGRICOLA'!CL15</f>
        <v>2.1285939966240157</v>
      </c>
      <c r="CM17" s="141">
        <f>'C6 AVIACION AGRICOLA'!CM13/'C6 AVIACION AGRICOLA'!CM15</f>
        <v>1.964692424147785</v>
      </c>
      <c r="CN17" s="141">
        <f>'C6 AVIACION AGRICOLA'!CN13/'C6 AVIACION AGRICOLA'!CN15</f>
        <v>2.8266147022544157</v>
      </c>
      <c r="CO17" s="36" t="e">
        <f>'C6 AVIACION AGRICOLA'!CO13/'C6 AVIACION AGRICOLA'!CO15</f>
        <v>#DIV/0!</v>
      </c>
      <c r="CP17" s="36">
        <f>'C6 AVIACION AGRICOLA'!CP13/'C6 AVIACION AGRICOLA'!CP15</f>
        <v>4.87611228174959</v>
      </c>
      <c r="CQ17" s="141" t="e">
        <f>'C6 AVIACION AGRICOLA'!CQ13/'C6 AVIACION AGRICOLA'!CQ15</f>
        <v>#DIV/0!</v>
      </c>
      <c r="CR17" s="36" t="e">
        <f>'C6 AVIACION AGRICOLA'!CR13/'C6 AVIACION AGRICOLA'!CR15</f>
        <v>#DIV/0!</v>
      </c>
      <c r="CS17" s="36" t="e">
        <f>'C6 AVIACION AGRICOLA'!CS13/'C6 AVIACION AGRICOLA'!CS15</f>
        <v>#DIV/0!</v>
      </c>
      <c r="CT17" s="141" t="e">
        <f>'C6 AVIACION AGRICOLA'!CT13/'C6 AVIACION AGRICOLA'!CT15</f>
        <v>#DIV/0!</v>
      </c>
      <c r="CU17" s="141">
        <f>'C6 AVIACION AGRICOLA'!CU13/'C6 AVIACION AGRICOLA'!CU15</f>
        <v>1.558578043515476</v>
      </c>
      <c r="CV17" s="36">
        <f>'C6 AVIACION AGRICOLA'!CV13/'C6 AVIACION AGRICOLA'!CV15</f>
        <v>1.3843168099076804</v>
      </c>
      <c r="CW17" s="36">
        <f>'C6 AVIACION AGRICOLA'!CW13/'C6 AVIACION AGRICOLA'!CW15</f>
        <v>1.3643396577849973</v>
      </c>
      <c r="CX17" s="141">
        <f>'C6 AVIACION AGRICOLA'!CX13/'C6 AVIACION AGRICOLA'!CX15</f>
        <v>1.8173973044417229</v>
      </c>
      <c r="CY17" s="141">
        <f>'C6 AVIACION AGRICOLA'!CY13/'C6 AVIACION AGRICOLA'!CY15</f>
        <v>414.43758043758044</v>
      </c>
      <c r="CZ17" s="36" t="e">
        <f>'C6 AVIACION AGRICOLA'!CZ13/'C6 AVIACION AGRICOLA'!CZ15</f>
        <v>#DIV/0!</v>
      </c>
      <c r="DA17" s="36">
        <f>'C6 AVIACION AGRICOLA'!DA13/'C6 AVIACION AGRICOLA'!DA15</f>
        <v>9.373971965870087</v>
      </c>
      <c r="DB17" s="141">
        <f>'C6 AVIACION AGRICOLA'!DB13/'C6 AVIACION AGRICOLA'!DB15</f>
        <v>16.875157257562982</v>
      </c>
      <c r="DC17" s="141">
        <f>'C6 AVIACION AGRICOLA'!DC13/'C6 AVIACION AGRICOLA'!DC15</f>
        <v>6.442133725583508</v>
      </c>
      <c r="DD17" s="36" t="e">
        <f>'C6 AVIACION AGRICOLA'!DD13/'C6 AVIACION AGRICOLA'!DD15</f>
        <v>#DIV/0!</v>
      </c>
      <c r="DE17" s="36" t="e">
        <f>'C6 AVIACION AGRICOLA'!DE13/'C6 AVIACION AGRICOLA'!DE15</f>
        <v>#DIV/0!</v>
      </c>
      <c r="DF17" s="141">
        <f>'C6 AVIACION AGRICOLA'!DF13/'C6 AVIACION AGRICOLA'!DF15</f>
        <v>2.7423175540324287</v>
      </c>
      <c r="DG17" s="141">
        <f>'C6 AVIACION AGRICOLA'!DG13/'C6 AVIACION AGRICOLA'!DG15</f>
        <v>3.178775392000707</v>
      </c>
      <c r="DH17" s="36" t="e">
        <f>'C6 AVIACION AGRICOLA'!DH13/'C6 AVIACION AGRICOLA'!DH15</f>
        <v>#DIV/0!</v>
      </c>
      <c r="DI17" s="36" t="e">
        <f>'C6 AVIACION AGRICOLA'!DI13/'C6 AVIACION AGRICOLA'!DI15</f>
        <v>#DIV/0!</v>
      </c>
      <c r="DJ17" s="141" t="e">
        <f>'C6 AVIACION AGRICOLA'!DJ13/'C6 AVIACION AGRICOLA'!DJ15</f>
        <v>#DIV/0!</v>
      </c>
      <c r="DK17" s="141" t="e">
        <f>'C6 AVIACION AGRICOLA'!DK13/'C6 AVIACION AGRICOLA'!DK15</f>
        <v>#DIV/0!</v>
      </c>
      <c r="DL17" s="36">
        <f>'C6 AVIACION AGRICOLA'!DL13/'C6 AVIACION AGRICOLA'!DL15</f>
        <v>3.2254153410140636</v>
      </c>
      <c r="DM17" s="36" t="e">
        <f>'C6 AVIACION AGRICOLA'!DM13/'C6 AVIACION AGRICOLA'!DM15</f>
        <v>#DIV/0!</v>
      </c>
      <c r="DN17" s="141" t="e">
        <f>'C6 AVIACION AGRICOLA'!DN13/'C6 AVIACION AGRICOLA'!DN15</f>
        <v>#DIV/0!</v>
      </c>
      <c r="DO17" s="141" t="e">
        <f>'C6 AVIACION AGRICOLA'!DO13/'C6 AVIACION AGRICOLA'!DO15</f>
        <v>#DIV/0!</v>
      </c>
      <c r="DP17" s="36" t="e">
        <f>'C6 AVIACION AGRICOLA'!DP13/'C6 AVIACION AGRICOLA'!DP15</f>
        <v>#DIV/0!</v>
      </c>
      <c r="DQ17" s="36">
        <f>'C6 AVIACION AGRICOLA'!DQ13/'C6 AVIACION AGRICOLA'!DQ15</f>
        <v>4.589802754000744</v>
      </c>
      <c r="DR17" s="141">
        <f>'C6 AVIACION AGRICOLA'!DR13/'C6 AVIACION AGRICOLA'!DR15</f>
        <v>4.752734797171566</v>
      </c>
      <c r="DS17" s="141" t="e">
        <f>'C6 AVIACION AGRICOLA'!DS13/'C6 AVIACION AGRICOLA'!DS15</f>
        <v>#DIV/0!</v>
      </c>
      <c r="DT17" s="36" t="e">
        <f>'C6 AVIACION AGRICOLA'!DT13/'C6 AVIACION AGRICOLA'!DT15</f>
        <v>#DIV/0!</v>
      </c>
      <c r="DU17" s="36">
        <f>'C6 AVIACION AGRICOLA'!DU13/'C6 AVIACION AGRICOLA'!DU15</f>
        <v>1.514658646730952</v>
      </c>
      <c r="DV17" s="141">
        <f>'C6 AVIACION AGRICOLA'!DV13/'C6 AVIACION AGRICOLA'!DV15</f>
        <v>2.049977454703282</v>
      </c>
      <c r="DW17" s="141" t="e">
        <f>'C6 AVIACION AGRICOLA'!DW13/'C6 AVIACION AGRICOLA'!DW15</f>
        <v>#DIV/0!</v>
      </c>
      <c r="DX17" s="36" t="e">
        <f>'C6 AVIACION AGRICOLA'!DX13/'C6 AVIACION AGRICOLA'!DX15</f>
        <v>#DIV/0!</v>
      </c>
      <c r="DY17" s="36">
        <f>'C6 AVIACION AGRICOLA'!DY13/'C6 AVIACION AGRICOLA'!DY15</f>
        <v>4.722302077307397</v>
      </c>
      <c r="DZ17" s="141">
        <f>'C6 AVIACION AGRICOLA'!DZ13/'C6 AVIACION AGRICOLA'!DZ15</f>
        <v>2.875410603613267</v>
      </c>
      <c r="EA17" s="141">
        <f>'C6 AVIACION AGRICOLA'!EA13/'C6 AVIACION AGRICOLA'!EA15</f>
        <v>3.409023761235885</v>
      </c>
      <c r="EB17" s="36" t="e">
        <f>'C6 AVIACION AGRICOLA'!EB13/'C6 AVIACION AGRICOLA'!EB15</f>
        <v>#DIV/0!</v>
      </c>
      <c r="EC17" s="36">
        <f>'C6 AVIACION AGRICOLA'!EC13/'C6 AVIACION AGRICOLA'!EC15</f>
        <v>1.5937509153122298</v>
      </c>
      <c r="ED17" s="141">
        <f>'C6 AVIACION AGRICOLA'!ED13/'C6 AVIACION AGRICOLA'!ED15</f>
        <v>1.5880875416060392</v>
      </c>
      <c r="EE17" s="141">
        <f>'C6 AVIACION AGRICOLA'!EE13/'C6 AVIACION AGRICOLA'!EE15</f>
        <v>6.243636526723938</v>
      </c>
      <c r="EF17" s="36">
        <f>'C6 AVIACION AGRICOLA'!EF13/'C6 AVIACION AGRICOLA'!EF15</f>
        <v>2.787446773895027</v>
      </c>
      <c r="EG17" s="36">
        <f>'C6 AVIACION AGRICOLA'!EG13/'C6 AVIACION AGRICOLA'!EG15</f>
        <v>2.2318730615181015</v>
      </c>
      <c r="EH17" s="141">
        <f>'C6 AVIACION AGRICOLA'!EH13/'C6 AVIACION AGRICOLA'!EH15</f>
        <v>2.0430506700440985</v>
      </c>
      <c r="EI17" s="141">
        <f>'C6 AVIACION AGRICOLA'!EI13/'C6 AVIACION AGRICOLA'!EI15</f>
        <v>2.0863320121045597</v>
      </c>
      <c r="EJ17" s="36">
        <f>'C6 AVIACION AGRICOLA'!EJ13/'C6 AVIACION AGRICOLA'!EJ15</f>
        <v>6.48367740876265</v>
      </c>
      <c r="EK17" s="36">
        <f>'C6 AVIACION AGRICOLA'!EK13/'C6 AVIACION AGRICOLA'!EK15</f>
        <v>6.171308689249604</v>
      </c>
      <c r="EL17" s="141">
        <f>'C6 AVIACION AGRICOLA'!EL13/'C6 AVIACION AGRICOLA'!EL15</f>
        <v>9.734772269720173</v>
      </c>
      <c r="EM17" s="141">
        <f>'C6 AVIACION AGRICOLA'!EM13/'C6 AVIACION AGRICOLA'!EM15</f>
        <v>5.113153745972993</v>
      </c>
      <c r="EN17" s="36">
        <f>'C6 AVIACION AGRICOLA'!EN13/'C6 AVIACION AGRICOLA'!EN15</f>
        <v>1.7831523707474701</v>
      </c>
      <c r="EO17" s="36">
        <f>'C6 AVIACION AGRICOLA'!EO13/'C6 AVIACION AGRICOLA'!EO15</f>
        <v>1.738920361904945</v>
      </c>
      <c r="EP17" s="141">
        <f>'C6 AVIACION AGRICOLA'!EP13/'C6 AVIACION AGRICOLA'!EP15</f>
        <v>1.7354251977533006</v>
      </c>
      <c r="EQ17" s="141" t="e">
        <f>'C6 AVIACION AGRICOLA'!EQ13/'C6 AVIACION AGRICOLA'!EQ15</f>
        <v>#DIV/0!</v>
      </c>
      <c r="ER17" s="36" t="e">
        <f>'C6 AVIACION AGRICOLA'!ER13/'C6 AVIACION AGRICOLA'!ER15</f>
        <v>#DIV/0!</v>
      </c>
      <c r="ES17" s="36" t="e">
        <f>'C6 AVIACION AGRICOLA'!ES13/'C6 AVIACION AGRICOLA'!ES15</f>
        <v>#DIV/0!</v>
      </c>
      <c r="ET17" s="141">
        <f>'C6 AVIACION AGRICOLA'!ET13/'C6 AVIACION AGRICOLA'!ET15</f>
        <v>4.572411861218272</v>
      </c>
      <c r="EU17" s="141">
        <f>'C6 AVIACION AGRICOLA'!EU13/'C6 AVIACION AGRICOLA'!EU15</f>
        <v>3.0031873759013483</v>
      </c>
      <c r="EV17" s="36">
        <f>'C6 AVIACION AGRICOLA'!EV13/'C6 AVIACION AGRICOLA'!EV15</f>
        <v>4.221748723050861</v>
      </c>
      <c r="EW17" s="36">
        <f>'C6 AVIACION AGRICOLA'!EW13/'C6 AVIACION AGRICOLA'!EW15</f>
        <v>1.889755548615931</v>
      </c>
      <c r="EX17" s="141">
        <f>'C6 AVIACION AGRICOLA'!EX13/'C6 AVIACION AGRICOLA'!EX15</f>
        <v>1.5544818129117879</v>
      </c>
      <c r="EY17" s="141">
        <f>'C6 AVIACION AGRICOLA'!EY13/'C6 AVIACION AGRICOLA'!EY15</f>
        <v>1.6041267210632537</v>
      </c>
      <c r="EZ17" s="36" t="e">
        <f>'C6 AVIACION AGRICOLA'!EZ13/'C6 AVIACION AGRICOLA'!EZ15</f>
        <v>#DIV/0!</v>
      </c>
      <c r="FA17" s="36">
        <f>'C6 AVIACION AGRICOLA'!FA13/'C6 AVIACION AGRICOLA'!FA15</f>
        <v>2.2418725887747244</v>
      </c>
      <c r="FB17" s="141">
        <f>'C6 AVIACION AGRICOLA'!FB13/'C6 AVIACION AGRICOLA'!FB15</f>
        <v>1.9656988020851829</v>
      </c>
      <c r="FC17" s="141" t="e">
        <f>'C6 AVIACION AGRICOLA'!FC13/'C6 AVIACION AGRICOLA'!FC15</f>
        <v>#DIV/0!</v>
      </c>
      <c r="FD17" s="36">
        <f>'C6 AVIACION AGRICOLA'!FD13/'C6 AVIACION AGRICOLA'!FD15</f>
        <v>3.222436090225564</v>
      </c>
      <c r="FE17" s="36" t="e">
        <f>'C6 AVIACION AGRICOLA'!FE13/'C6 AVIACION AGRICOLA'!FE15</f>
        <v>#DIV/0!</v>
      </c>
      <c r="FF17" s="143" t="e">
        <f>'C6 AVIACION AGRICOLA'!FF13/'C6 AVIACION AGRICOLA'!FF15</f>
        <v>#DIV/0!</v>
      </c>
      <c r="FG17" s="141" t="e">
        <f>'C6 AVIACION AGRICOLA'!FG13/'C6 AVIACION AGRICOLA'!FG15</f>
        <v>#DIV/0!</v>
      </c>
      <c r="FH17" s="36">
        <f>'C6 AVIACION AGRICOLA'!FH13/'C6 AVIACION AGRICOLA'!FH15</f>
        <v>1.6226180277755387</v>
      </c>
      <c r="FI17" s="36" t="e">
        <f>'C6 AVIACION AGRICOLA'!FI13/'C6 AVIACION AGRICOLA'!FI15</f>
        <v>#DIV/0!</v>
      </c>
      <c r="FJ17" s="141" t="e">
        <f>'C6 AVIACION AGRICOLA'!FJ13/'C6 AVIACION AGRICOLA'!FJ15</f>
        <v>#DIV/0!</v>
      </c>
      <c r="FK17" s="141">
        <f>'C6 AVIACION AGRICOLA'!FK13/'C6 AVIACION AGRICOLA'!FK15</f>
        <v>1.7822092696643252</v>
      </c>
      <c r="FL17" s="36" t="e">
        <f>'C6 AVIACION AGRICOLA'!FL13/'C6 AVIACION AGRICOLA'!FL15</f>
        <v>#DIV/0!</v>
      </c>
      <c r="FM17" s="36" t="e">
        <f>'C6 AVIACION AGRICOLA'!FM13/'C6 AVIACION AGRICOLA'!FM15</f>
        <v>#DIV/0!</v>
      </c>
      <c r="FN17" s="141" t="e">
        <f>'C6 AVIACION AGRICOLA'!FN13/'C6 AVIACION AGRICOLA'!FN15</f>
        <v>#DIV/0!</v>
      </c>
      <c r="FO17" s="141">
        <f>'C6 AVIACION AGRICOLA'!FO13/'C6 AVIACION AGRICOLA'!FO15</f>
        <v>4.179159284590184</v>
      </c>
    </row>
    <row r="18" spans="1:171" ht="12.75">
      <c r="A18" s="39" t="s">
        <v>49</v>
      </c>
      <c r="B18" s="37"/>
      <c r="C18" s="37"/>
      <c r="D18" s="142"/>
      <c r="E18" s="142"/>
      <c r="F18" s="37"/>
      <c r="G18" s="37"/>
      <c r="H18" s="142"/>
      <c r="I18" s="142"/>
      <c r="J18" s="37"/>
      <c r="K18" s="37"/>
      <c r="L18" s="142"/>
      <c r="M18" s="142"/>
      <c r="N18" s="37"/>
      <c r="O18" s="37"/>
      <c r="P18" s="142"/>
      <c r="Q18" s="142"/>
      <c r="R18" s="37"/>
      <c r="S18" s="37"/>
      <c r="T18" s="142"/>
      <c r="U18" s="142"/>
      <c r="V18" s="37"/>
      <c r="W18" s="37"/>
      <c r="X18" s="142"/>
      <c r="Y18" s="142"/>
      <c r="Z18" s="37"/>
      <c r="AA18" s="37"/>
      <c r="AB18" s="142"/>
      <c r="AC18" s="37"/>
      <c r="AD18" s="37"/>
      <c r="AE18" s="142"/>
      <c r="AF18" s="142"/>
      <c r="AG18" s="37"/>
      <c r="AH18" s="37"/>
      <c r="AI18" s="142"/>
      <c r="AJ18" s="142"/>
      <c r="AK18" s="37"/>
      <c r="AL18" s="37"/>
      <c r="AM18" s="142"/>
      <c r="AN18" s="142"/>
      <c r="AO18" s="37"/>
      <c r="AP18" s="37"/>
      <c r="AQ18" s="142"/>
      <c r="AR18" s="142"/>
      <c r="AS18" s="37"/>
      <c r="AT18" s="37"/>
      <c r="AU18" s="142"/>
      <c r="AV18" s="142"/>
      <c r="AW18" s="37"/>
      <c r="AX18" s="37"/>
      <c r="AY18" s="142"/>
      <c r="AZ18" s="142"/>
      <c r="BA18" s="37"/>
      <c r="BB18" s="37"/>
      <c r="BC18" s="142"/>
      <c r="BD18" s="142"/>
      <c r="BE18" s="37"/>
      <c r="BF18" s="37"/>
      <c r="BG18" s="142"/>
      <c r="BH18" s="142"/>
      <c r="BI18" s="37"/>
      <c r="BJ18" s="37"/>
      <c r="BK18" s="142"/>
      <c r="BL18" s="142"/>
      <c r="BM18" s="37"/>
      <c r="BN18" s="37"/>
      <c r="BO18" s="142"/>
      <c r="BP18" s="142"/>
      <c r="BQ18" s="37"/>
      <c r="BR18" s="37"/>
      <c r="BS18" s="142"/>
      <c r="BT18" s="142"/>
      <c r="BU18" s="37"/>
      <c r="BV18" s="37"/>
      <c r="BW18" s="142"/>
      <c r="BX18" s="142"/>
      <c r="BY18" s="37"/>
      <c r="BZ18" s="37"/>
      <c r="CA18" s="142"/>
      <c r="CB18" s="142"/>
      <c r="CC18" s="37"/>
      <c r="CD18" s="37"/>
      <c r="CE18" s="142"/>
      <c r="CF18" s="142"/>
      <c r="CG18" s="37"/>
      <c r="CH18" s="37"/>
      <c r="CI18" s="142"/>
      <c r="CJ18" s="142"/>
      <c r="CK18" s="37"/>
      <c r="CL18" s="37"/>
      <c r="CM18" s="142"/>
      <c r="CN18" s="142"/>
      <c r="CO18" s="37"/>
      <c r="CP18" s="37"/>
      <c r="CQ18" s="142"/>
      <c r="CR18" s="37"/>
      <c r="CS18" s="37"/>
      <c r="CT18" s="142"/>
      <c r="CU18" s="142"/>
      <c r="CV18" s="37"/>
      <c r="CW18" s="37"/>
      <c r="CX18" s="142"/>
      <c r="CY18" s="142"/>
      <c r="CZ18" s="37"/>
      <c r="DA18" s="37"/>
      <c r="DB18" s="142"/>
      <c r="DC18" s="142"/>
      <c r="DD18" s="37"/>
      <c r="DE18" s="37"/>
      <c r="DF18" s="142"/>
      <c r="DG18" s="142"/>
      <c r="DH18" s="37"/>
      <c r="DI18" s="37"/>
      <c r="DJ18" s="142"/>
      <c r="DK18" s="142"/>
      <c r="DL18" s="37"/>
      <c r="DM18" s="37"/>
      <c r="DN18" s="142"/>
      <c r="DO18" s="142"/>
      <c r="DP18" s="37"/>
      <c r="DQ18" s="37"/>
      <c r="DR18" s="142"/>
      <c r="DS18" s="142"/>
      <c r="DT18" s="37"/>
      <c r="DU18" s="37"/>
      <c r="DV18" s="142"/>
      <c r="DW18" s="142"/>
      <c r="DX18" s="37"/>
      <c r="DY18" s="37"/>
      <c r="DZ18" s="142"/>
      <c r="EA18" s="142"/>
      <c r="EB18" s="37"/>
      <c r="EC18" s="37"/>
      <c r="ED18" s="142"/>
      <c r="EE18" s="142"/>
      <c r="EF18" s="37"/>
      <c r="EG18" s="37"/>
      <c r="EH18" s="142"/>
      <c r="EI18" s="142"/>
      <c r="EJ18" s="37"/>
      <c r="EK18" s="37"/>
      <c r="EL18" s="142"/>
      <c r="EM18" s="142"/>
      <c r="EN18" s="37"/>
      <c r="EO18" s="37"/>
      <c r="EP18" s="142"/>
      <c r="EQ18" s="142"/>
      <c r="ER18" s="37"/>
      <c r="ES18" s="37"/>
      <c r="ET18" s="142"/>
      <c r="EU18" s="142"/>
      <c r="EV18" s="37"/>
      <c r="EW18" s="37"/>
      <c r="EX18" s="142"/>
      <c r="EY18" s="142"/>
      <c r="EZ18" s="37"/>
      <c r="FA18" s="37"/>
      <c r="FB18" s="142"/>
      <c r="FC18" s="142"/>
      <c r="FD18" s="37"/>
      <c r="FE18" s="37"/>
      <c r="FF18" s="144"/>
      <c r="FG18" s="142"/>
      <c r="FH18" s="37"/>
      <c r="FI18" s="37"/>
      <c r="FJ18" s="142"/>
      <c r="FK18" s="142"/>
      <c r="FL18" s="37"/>
      <c r="FM18" s="37"/>
      <c r="FN18" s="142"/>
      <c r="FO18" s="142"/>
    </row>
    <row r="19" spans="1:171" ht="12.75">
      <c r="A19" s="41" t="s">
        <v>50</v>
      </c>
      <c r="B19" s="36">
        <f>'C6 AVIACION AGRICOLA'!B11/'C6 AVIACION AGRICOLA'!B16</f>
        <v>2.6161637206504182</v>
      </c>
      <c r="C19" s="36">
        <f>'C6 AVIACION AGRICOLA'!C11/'C6 AVIACION AGRICOLA'!C16</f>
        <v>9.61633944469874</v>
      </c>
      <c r="D19" s="141">
        <f>'C6 AVIACION AGRICOLA'!D11/'C6 AVIACION AGRICOLA'!D16</f>
        <v>18.69424759426129</v>
      </c>
      <c r="E19" s="141">
        <f>'C6 AVIACION AGRICOLA'!E11/'C6 AVIACION AGRICOLA'!E16</f>
        <v>2.868957903181213</v>
      </c>
      <c r="F19" s="36">
        <f>'C6 AVIACION AGRICOLA'!F11/'C6 AVIACION AGRICOLA'!F16</f>
        <v>6.3369115848054145</v>
      </c>
      <c r="G19" s="36">
        <f>'C6 AVIACION AGRICOLA'!G11/'C6 AVIACION AGRICOLA'!G16</f>
        <v>3.979143948032472</v>
      </c>
      <c r="H19" s="141">
        <f>'C6 AVIACION AGRICOLA'!H11/'C6 AVIACION AGRICOLA'!H16</f>
        <v>13.464658530306533</v>
      </c>
      <c r="I19" s="141">
        <f>'C6 AVIACION AGRICOLA'!I11/'C6 AVIACION AGRICOLA'!I16</f>
        <v>2.2745199692105458</v>
      </c>
      <c r="J19" s="36" t="e">
        <f>'C6 AVIACION AGRICOLA'!J11/'C6 AVIACION AGRICOLA'!J16</f>
        <v>#DIV/0!</v>
      </c>
      <c r="K19" s="36">
        <f>'C6 AVIACION AGRICOLA'!K11/'C6 AVIACION AGRICOLA'!K16</f>
        <v>2.0420902736657585</v>
      </c>
      <c r="L19" s="141">
        <f>'C6 AVIACION AGRICOLA'!L11/'C6 AVIACION AGRICOLA'!L16</f>
        <v>8.436587311408973</v>
      </c>
      <c r="M19" s="141" t="e">
        <f>'C6 AVIACION AGRICOLA'!M11/'C6 AVIACION AGRICOLA'!M16</f>
        <v>#DIV/0!</v>
      </c>
      <c r="N19" s="36" t="e">
        <f>'C6 AVIACION AGRICOLA'!N11/'C6 AVIACION AGRICOLA'!N16</f>
        <v>#DIV/0!</v>
      </c>
      <c r="O19" s="36" t="e">
        <f>'C6 AVIACION AGRICOLA'!O11/'C6 AVIACION AGRICOLA'!O16</f>
        <v>#DIV/0!</v>
      </c>
      <c r="P19" s="141">
        <f>'C6 AVIACION AGRICOLA'!P11/'C6 AVIACION AGRICOLA'!P16</f>
        <v>3.8681957199999997</v>
      </c>
      <c r="Q19" s="141" t="e">
        <f>'C6 AVIACION AGRICOLA'!Q11/'C6 AVIACION AGRICOLA'!Q16</f>
        <v>#DIV/0!</v>
      </c>
      <c r="R19" s="36" t="e">
        <f>'C6 AVIACION AGRICOLA'!R11/'C6 AVIACION AGRICOLA'!R16</f>
        <v>#DIV/0!</v>
      </c>
      <c r="S19" s="36" t="e">
        <f>'C6 AVIACION AGRICOLA'!S11/'C6 AVIACION AGRICOLA'!S16</f>
        <v>#DIV/0!</v>
      </c>
      <c r="T19" s="141" t="e">
        <f>'C6 AVIACION AGRICOLA'!T11/'C6 AVIACION AGRICOLA'!T16</f>
        <v>#DIV/0!</v>
      </c>
      <c r="U19" s="141" t="e">
        <f>'C6 AVIACION AGRICOLA'!U11/'C6 AVIACION AGRICOLA'!U16</f>
        <v>#DIV/0!</v>
      </c>
      <c r="V19" s="36" t="e">
        <f>'C6 AVIACION AGRICOLA'!V11/'C6 AVIACION AGRICOLA'!V16</f>
        <v>#DIV/0!</v>
      </c>
      <c r="W19" s="36" t="e">
        <f>'C6 AVIACION AGRICOLA'!W11/'C6 AVIACION AGRICOLA'!W16</f>
        <v>#DIV/0!</v>
      </c>
      <c r="X19" s="141" t="e">
        <f>'C6 AVIACION AGRICOLA'!X11/'C6 AVIACION AGRICOLA'!X16</f>
        <v>#DIV/0!</v>
      </c>
      <c r="Y19" s="141" t="e">
        <f>'C6 AVIACION AGRICOLA'!Y11/'C6 AVIACION AGRICOLA'!Y16</f>
        <v>#DIV/0!</v>
      </c>
      <c r="Z19" s="36" t="e">
        <f>'C6 AVIACION AGRICOLA'!Z11/'C6 AVIACION AGRICOLA'!Z16</f>
        <v>#DIV/0!</v>
      </c>
      <c r="AA19" s="36" t="e">
        <f>'C6 AVIACION AGRICOLA'!AA11/'C6 AVIACION AGRICOLA'!AA16</f>
        <v>#DIV/0!</v>
      </c>
      <c r="AB19" s="141">
        <f>'C6 AVIACION AGRICOLA'!AB11/'C6 AVIACION AGRICOLA'!AB16</f>
        <v>3.3088148635212584</v>
      </c>
      <c r="AC19" s="36" t="e">
        <f>'C6 AVIACION AGRICOLA'!AC11/'C6 AVIACION AGRICOLA'!AC16</f>
        <v>#DIV/0!</v>
      </c>
      <c r="AD19" s="36" t="e">
        <f>'C6 AVIACION AGRICOLA'!AD11/'C6 AVIACION AGRICOLA'!AD16</f>
        <v>#DIV/0!</v>
      </c>
      <c r="AE19" s="141" t="e">
        <f>'C6 AVIACION AGRICOLA'!AE11/'C6 AVIACION AGRICOLA'!AE16</f>
        <v>#DIV/0!</v>
      </c>
      <c r="AF19" s="141">
        <f>'C6 AVIACION AGRICOLA'!AF11/'C6 AVIACION AGRICOLA'!AF16</f>
        <v>1.5589381659997301</v>
      </c>
      <c r="AG19" s="36">
        <f>'C6 AVIACION AGRICOLA'!AG11/'C6 AVIACION AGRICOLA'!AG16</f>
        <v>0.2619441331988099</v>
      </c>
      <c r="AH19" s="36">
        <f>'C6 AVIACION AGRICOLA'!AH11/'C6 AVIACION AGRICOLA'!AH16</f>
        <v>14.890453575120164</v>
      </c>
      <c r="AI19" s="141">
        <f>'C6 AVIACION AGRICOLA'!AI11/'C6 AVIACION AGRICOLA'!AI16</f>
        <v>13.134501638499051</v>
      </c>
      <c r="AJ19" s="141" t="e">
        <f>'C6 AVIACION AGRICOLA'!AJ11/'C6 AVIACION AGRICOLA'!AJ16</f>
        <v>#DIV/0!</v>
      </c>
      <c r="AK19" s="36" t="e">
        <f>'C6 AVIACION AGRICOLA'!AK11/'C6 AVIACION AGRICOLA'!AK16</f>
        <v>#DIV/0!</v>
      </c>
      <c r="AL19" s="36" t="e">
        <f>'C6 AVIACION AGRICOLA'!AL11/'C6 AVIACION AGRICOLA'!AL16</f>
        <v>#DIV/0!</v>
      </c>
      <c r="AM19" s="141" t="e">
        <f>'C6 AVIACION AGRICOLA'!AM11/'C6 AVIACION AGRICOLA'!AM16</f>
        <v>#DIV/0!</v>
      </c>
      <c r="AN19" s="141" t="e">
        <f>'C6 AVIACION AGRICOLA'!AN11/'C6 AVIACION AGRICOLA'!AN16</f>
        <v>#DIV/0!</v>
      </c>
      <c r="AO19" s="36" t="e">
        <f>'C6 AVIACION AGRICOLA'!AO11/'C6 AVIACION AGRICOLA'!AO16</f>
        <v>#DIV/0!</v>
      </c>
      <c r="AP19" s="36" t="e">
        <f>'C6 AVIACION AGRICOLA'!AP11/'C6 AVIACION AGRICOLA'!AP16</f>
        <v>#DIV/0!</v>
      </c>
      <c r="AQ19" s="141" t="e">
        <f>'C6 AVIACION AGRICOLA'!AQ11/'C6 AVIACION AGRICOLA'!AQ16</f>
        <v>#DIV/0!</v>
      </c>
      <c r="AR19" s="141" t="e">
        <f>'C6 AVIACION AGRICOLA'!AR11/'C6 AVIACION AGRICOLA'!AR16</f>
        <v>#DIV/0!</v>
      </c>
      <c r="AS19" s="36">
        <f>'C6 AVIACION AGRICOLA'!AS11/'C6 AVIACION AGRICOLA'!AS16</f>
        <v>1.1350492423013272</v>
      </c>
      <c r="AT19" s="36">
        <f>'C6 AVIACION AGRICOLA'!AT11/'C6 AVIACION AGRICOLA'!AT16</f>
        <v>1.3174936585947117</v>
      </c>
      <c r="AU19" s="141" t="e">
        <f>'C6 AVIACION AGRICOLA'!AU11/'C6 AVIACION AGRICOLA'!AU16</f>
        <v>#DIV/0!</v>
      </c>
      <c r="AV19" s="141" t="e">
        <f>'C6 AVIACION AGRICOLA'!AV11/'C6 AVIACION AGRICOLA'!AV16</f>
        <v>#DIV/0!</v>
      </c>
      <c r="AW19" s="36" t="e">
        <f>'C6 AVIACION AGRICOLA'!AW11/'C6 AVIACION AGRICOLA'!AW16</f>
        <v>#DIV/0!</v>
      </c>
      <c r="AX19" s="36" t="e">
        <f>'C6 AVIACION AGRICOLA'!AX11/'C6 AVIACION AGRICOLA'!AX16</f>
        <v>#DIV/0!</v>
      </c>
      <c r="AY19" s="141" t="e">
        <f>'C6 AVIACION AGRICOLA'!AY11/'C6 AVIACION AGRICOLA'!AY16</f>
        <v>#DIV/0!</v>
      </c>
      <c r="AZ19" s="141" t="e">
        <f>'C6 AVIACION AGRICOLA'!AZ11/'C6 AVIACION AGRICOLA'!AZ16</f>
        <v>#DIV/0!</v>
      </c>
      <c r="BA19" s="36">
        <f>'C6 AVIACION AGRICOLA'!BA11/'C6 AVIACION AGRICOLA'!BA16</f>
        <v>0.7159674011469966</v>
      </c>
      <c r="BB19" s="36">
        <f>'C6 AVIACION AGRICOLA'!BB11/'C6 AVIACION AGRICOLA'!BB16</f>
        <v>121.45126697649977</v>
      </c>
      <c r="BC19" s="141">
        <f>'C6 AVIACION AGRICOLA'!BC11/'C6 AVIACION AGRICOLA'!BC16</f>
        <v>13.795566206480984</v>
      </c>
      <c r="BD19" s="141">
        <f>'C6 AVIACION AGRICOLA'!BD11/'C6 AVIACION AGRICOLA'!BD16</f>
        <v>0.6332407149879248</v>
      </c>
      <c r="BE19" s="36" t="e">
        <f>'C6 AVIACION AGRICOLA'!BE11/'C6 AVIACION AGRICOLA'!BE16</f>
        <v>#DIV/0!</v>
      </c>
      <c r="BF19" s="36" t="e">
        <f>'C6 AVIACION AGRICOLA'!BF11/'C6 AVIACION AGRICOLA'!BF16</f>
        <v>#DIV/0!</v>
      </c>
      <c r="BG19" s="141" t="e">
        <f>'C6 AVIACION AGRICOLA'!BG11/'C6 AVIACION AGRICOLA'!BG16</f>
        <v>#DIV/0!</v>
      </c>
      <c r="BH19" s="141" t="e">
        <f>'C6 AVIACION AGRICOLA'!BH11/'C6 AVIACION AGRICOLA'!BH16</f>
        <v>#DIV/0!</v>
      </c>
      <c r="BI19" s="36" t="e">
        <f>'C6 AVIACION AGRICOLA'!BI11/'C6 AVIACION AGRICOLA'!BI16</f>
        <v>#DIV/0!</v>
      </c>
      <c r="BJ19" s="36" t="e">
        <f>'C6 AVIACION AGRICOLA'!BJ11/'C6 AVIACION AGRICOLA'!BJ16</f>
        <v>#DIV/0!</v>
      </c>
      <c r="BK19" s="141" t="e">
        <f>'C6 AVIACION AGRICOLA'!BK11/'C6 AVIACION AGRICOLA'!BK16</f>
        <v>#DIV/0!</v>
      </c>
      <c r="BL19" s="141" t="e">
        <f>'C6 AVIACION AGRICOLA'!BL11/'C6 AVIACION AGRICOLA'!BL16</f>
        <v>#DIV/0!</v>
      </c>
      <c r="BM19" s="36">
        <f>'C6 AVIACION AGRICOLA'!BM11/'C6 AVIACION AGRICOLA'!BM16</f>
        <v>3.7399466783137245</v>
      </c>
      <c r="BN19" s="36">
        <f>'C6 AVIACION AGRICOLA'!BN11/'C6 AVIACION AGRICOLA'!BN16</f>
        <v>3.905627857153634</v>
      </c>
      <c r="BO19" s="141">
        <f>'C6 AVIACION AGRICOLA'!BO11/'C6 AVIACION AGRICOLA'!BO16</f>
        <v>135.42166211194777</v>
      </c>
      <c r="BP19" s="141">
        <f>'C6 AVIACION AGRICOLA'!BP11/'C6 AVIACION AGRICOLA'!BP16</f>
        <v>5.796760220462075</v>
      </c>
      <c r="BQ19" s="36" t="e">
        <f>'C6 AVIACION AGRICOLA'!BQ11/'C6 AVIACION AGRICOLA'!BQ16</f>
        <v>#DIV/0!</v>
      </c>
      <c r="BR19" s="36" t="e">
        <f>'C6 AVIACION AGRICOLA'!BR11/'C6 AVIACION AGRICOLA'!BR16</f>
        <v>#DIV/0!</v>
      </c>
      <c r="BS19" s="141">
        <f>'C6 AVIACION AGRICOLA'!BS11/'C6 AVIACION AGRICOLA'!BS16</f>
        <v>5.461493489237311</v>
      </c>
      <c r="BT19" s="141">
        <f>'C6 AVIACION AGRICOLA'!BT11/'C6 AVIACION AGRICOLA'!BT16</f>
        <v>16.927342716227596</v>
      </c>
      <c r="BU19" s="36" t="e">
        <f>'C6 AVIACION AGRICOLA'!BU11/'C6 AVIACION AGRICOLA'!BU16</f>
        <v>#DIV/0!</v>
      </c>
      <c r="BV19" s="36" t="e">
        <f>'C6 AVIACION AGRICOLA'!BV11/'C6 AVIACION AGRICOLA'!BV16</f>
        <v>#DIV/0!</v>
      </c>
      <c r="BW19" s="141" t="e">
        <f>'C6 AVIACION AGRICOLA'!BW11/'C6 AVIACION AGRICOLA'!BW16</f>
        <v>#DIV/0!</v>
      </c>
      <c r="BX19" s="141" t="e">
        <f>'C6 AVIACION AGRICOLA'!BX11/'C6 AVIACION AGRICOLA'!BX16</f>
        <v>#DIV/0!</v>
      </c>
      <c r="BY19" s="36">
        <f>'C6 AVIACION AGRICOLA'!BY11/'C6 AVIACION AGRICOLA'!BY16</f>
        <v>45.366214</v>
      </c>
      <c r="BZ19" s="36">
        <f>'C6 AVIACION AGRICOLA'!BZ11/'C6 AVIACION AGRICOLA'!BZ16</f>
        <v>44.454269999999994</v>
      </c>
      <c r="CA19" s="141" t="e">
        <f>'C6 AVIACION AGRICOLA'!CA11/'C6 AVIACION AGRICOLA'!CA16</f>
        <v>#DIV/0!</v>
      </c>
      <c r="CB19" s="141" t="e">
        <f>'C6 AVIACION AGRICOLA'!CB11/'C6 AVIACION AGRICOLA'!CB16</f>
        <v>#DIV/0!</v>
      </c>
      <c r="CC19" s="36" t="e">
        <f>'C6 AVIACION AGRICOLA'!CC11/'C6 AVIACION AGRICOLA'!CC16</f>
        <v>#DIV/0!</v>
      </c>
      <c r="CD19" s="36" t="e">
        <f>'C6 AVIACION AGRICOLA'!CD11/'C6 AVIACION AGRICOLA'!CD16</f>
        <v>#DIV/0!</v>
      </c>
      <c r="CE19" s="141" t="e">
        <f>'C6 AVIACION AGRICOLA'!CE11/'C6 AVIACION AGRICOLA'!CE16</f>
        <v>#DIV/0!</v>
      </c>
      <c r="CF19" s="141" t="e">
        <f>'C6 AVIACION AGRICOLA'!CF11/'C6 AVIACION AGRICOLA'!CF16</f>
        <v>#DIV/0!</v>
      </c>
      <c r="CG19" s="36">
        <f>'C6 AVIACION AGRICOLA'!CG11/'C6 AVIACION AGRICOLA'!CG16</f>
        <v>1.1348596561363524</v>
      </c>
      <c r="CH19" s="36" t="e">
        <f>'C6 AVIACION AGRICOLA'!CH11/'C6 AVIACION AGRICOLA'!CH16</f>
        <v>#DIV/0!</v>
      </c>
      <c r="CI19" s="141" t="e">
        <f>'C6 AVIACION AGRICOLA'!CI11/'C6 AVIACION AGRICOLA'!CI16</f>
        <v>#DIV/0!</v>
      </c>
      <c r="CJ19" s="141" t="e">
        <f>'C6 AVIACION AGRICOLA'!CJ11/'C6 AVIACION AGRICOLA'!CJ16</f>
        <v>#DIV/0!</v>
      </c>
      <c r="CK19" s="36" t="e">
        <f>'C6 AVIACION AGRICOLA'!CK11/'C6 AVIACION AGRICOLA'!CK16</f>
        <v>#DIV/0!</v>
      </c>
      <c r="CL19" s="36" t="e">
        <f>'C6 AVIACION AGRICOLA'!CL11/'C6 AVIACION AGRICOLA'!CL16</f>
        <v>#DIV/0!</v>
      </c>
      <c r="CM19" s="141" t="e">
        <f>'C6 AVIACION AGRICOLA'!CM11/'C6 AVIACION AGRICOLA'!CM16</f>
        <v>#DIV/0!</v>
      </c>
      <c r="CN19" s="141" t="e">
        <f>'C6 AVIACION AGRICOLA'!CN11/'C6 AVIACION AGRICOLA'!CN16</f>
        <v>#DIV/0!</v>
      </c>
      <c r="CO19" s="36" t="e">
        <f>'C6 AVIACION AGRICOLA'!CO11/'C6 AVIACION AGRICOLA'!CO16</f>
        <v>#DIV/0!</v>
      </c>
      <c r="CP19" s="36" t="e">
        <f>'C6 AVIACION AGRICOLA'!CP11/'C6 AVIACION AGRICOLA'!CP16</f>
        <v>#DIV/0!</v>
      </c>
      <c r="CQ19" s="141" t="e">
        <f>'C6 AVIACION AGRICOLA'!CQ11/'C6 AVIACION AGRICOLA'!CQ16</f>
        <v>#DIV/0!</v>
      </c>
      <c r="CR19" s="36" t="e">
        <f>'C6 AVIACION AGRICOLA'!CR11/'C6 AVIACION AGRICOLA'!CR16</f>
        <v>#DIV/0!</v>
      </c>
      <c r="CS19" s="36" t="e">
        <f>'C6 AVIACION AGRICOLA'!CS11/'C6 AVIACION AGRICOLA'!CS16</f>
        <v>#DIV/0!</v>
      </c>
      <c r="CT19" s="141" t="e">
        <f>'C6 AVIACION AGRICOLA'!CT11/'C6 AVIACION AGRICOLA'!CT16</f>
        <v>#DIV/0!</v>
      </c>
      <c r="CU19" s="141" t="e">
        <f>'C6 AVIACION AGRICOLA'!CU11/'C6 AVIACION AGRICOLA'!CU16</f>
        <v>#DIV/0!</v>
      </c>
      <c r="CV19" s="36" t="e">
        <f>'C6 AVIACION AGRICOLA'!CV11/'C6 AVIACION AGRICOLA'!CV16</f>
        <v>#DIV/0!</v>
      </c>
      <c r="CW19" s="36" t="e">
        <f>'C6 AVIACION AGRICOLA'!CW11/'C6 AVIACION AGRICOLA'!CW16</f>
        <v>#DIV/0!</v>
      </c>
      <c r="CX19" s="141" t="e">
        <f>'C6 AVIACION AGRICOLA'!CX11/'C6 AVIACION AGRICOLA'!CX16</f>
        <v>#DIV/0!</v>
      </c>
      <c r="CY19" s="141" t="e">
        <f>'C6 AVIACION AGRICOLA'!CY11/'C6 AVIACION AGRICOLA'!CY16</f>
        <v>#DIV/0!</v>
      </c>
      <c r="CZ19" s="36" t="e">
        <f>'C6 AVIACION AGRICOLA'!CZ11/'C6 AVIACION AGRICOLA'!CZ16</f>
        <v>#DIV/0!</v>
      </c>
      <c r="DA19" s="36" t="e">
        <f>'C6 AVIACION AGRICOLA'!DA11/'C6 AVIACION AGRICOLA'!DA16</f>
        <v>#DIV/0!</v>
      </c>
      <c r="DB19" s="141" t="e">
        <f>'C6 AVIACION AGRICOLA'!DB11/'C6 AVIACION AGRICOLA'!DB16</f>
        <v>#DIV/0!</v>
      </c>
      <c r="DC19" s="141" t="e">
        <f>'C6 AVIACION AGRICOLA'!DC11/'C6 AVIACION AGRICOLA'!DC16</f>
        <v>#DIV/0!</v>
      </c>
      <c r="DD19" s="36">
        <f>'C6 AVIACION AGRICOLA'!DD11/'C6 AVIACION AGRICOLA'!DD16</f>
        <v>0.9635075032410096</v>
      </c>
      <c r="DE19" s="36">
        <f>'C6 AVIACION AGRICOLA'!DE11/'C6 AVIACION AGRICOLA'!DE16</f>
        <v>1.0502159713810884</v>
      </c>
      <c r="DF19" s="141" t="e">
        <f>'C6 AVIACION AGRICOLA'!DF11/'C6 AVIACION AGRICOLA'!DF16</f>
        <v>#DIV/0!</v>
      </c>
      <c r="DG19" s="141" t="e">
        <f>'C6 AVIACION AGRICOLA'!DG11/'C6 AVIACION AGRICOLA'!DG16</f>
        <v>#DIV/0!</v>
      </c>
      <c r="DH19" s="36" t="e">
        <f>'C6 AVIACION AGRICOLA'!DH11/'C6 AVIACION AGRICOLA'!DH16</f>
        <v>#DIV/0!</v>
      </c>
      <c r="DI19" s="36" t="e">
        <f>'C6 AVIACION AGRICOLA'!DI11/'C6 AVIACION AGRICOLA'!DI16</f>
        <v>#DIV/0!</v>
      </c>
      <c r="DJ19" s="141" t="e">
        <f>'C6 AVIACION AGRICOLA'!DJ11/'C6 AVIACION AGRICOLA'!DJ16</f>
        <v>#DIV/0!</v>
      </c>
      <c r="DK19" s="141" t="e">
        <f>'C6 AVIACION AGRICOLA'!DK11/'C6 AVIACION AGRICOLA'!DK16</f>
        <v>#DIV/0!</v>
      </c>
      <c r="DL19" s="36" t="e">
        <f>'C6 AVIACION AGRICOLA'!DL11/'C6 AVIACION AGRICOLA'!DL16</f>
        <v>#DIV/0!</v>
      </c>
      <c r="DM19" s="36" t="e">
        <f>'C6 AVIACION AGRICOLA'!DM11/'C6 AVIACION AGRICOLA'!DM16</f>
        <v>#DIV/0!</v>
      </c>
      <c r="DN19" s="141" t="e">
        <f>'C6 AVIACION AGRICOLA'!DN11/'C6 AVIACION AGRICOLA'!DN16</f>
        <v>#DIV/0!</v>
      </c>
      <c r="DO19" s="141" t="e">
        <f>'C6 AVIACION AGRICOLA'!DO11/'C6 AVIACION AGRICOLA'!DO16</f>
        <v>#DIV/0!</v>
      </c>
      <c r="DP19" s="36" t="e">
        <f>'C6 AVIACION AGRICOLA'!DP11/'C6 AVIACION AGRICOLA'!DP16</f>
        <v>#DIV/0!</v>
      </c>
      <c r="DQ19" s="36" t="e">
        <f>'C6 AVIACION AGRICOLA'!DQ11/'C6 AVIACION AGRICOLA'!DQ16</f>
        <v>#DIV/0!</v>
      </c>
      <c r="DR19" s="141" t="e">
        <f>'C6 AVIACION AGRICOLA'!DR11/'C6 AVIACION AGRICOLA'!DR16</f>
        <v>#DIV/0!</v>
      </c>
      <c r="DS19" s="141" t="e">
        <f>'C6 AVIACION AGRICOLA'!DS11/'C6 AVIACION AGRICOLA'!DS16</f>
        <v>#DIV/0!</v>
      </c>
      <c r="DT19" s="36" t="e">
        <f>'C6 AVIACION AGRICOLA'!DT11/'C6 AVIACION AGRICOLA'!DT16</f>
        <v>#DIV/0!</v>
      </c>
      <c r="DU19" s="36" t="e">
        <f>'C6 AVIACION AGRICOLA'!DU11/'C6 AVIACION AGRICOLA'!DU16</f>
        <v>#DIV/0!</v>
      </c>
      <c r="DV19" s="141" t="e">
        <f>'C6 AVIACION AGRICOLA'!DV11/'C6 AVIACION AGRICOLA'!DV16</f>
        <v>#DIV/0!</v>
      </c>
      <c r="DW19" s="141" t="e">
        <f>'C6 AVIACION AGRICOLA'!DW11/'C6 AVIACION AGRICOLA'!DW16</f>
        <v>#DIV/0!</v>
      </c>
      <c r="DX19" s="36" t="e">
        <f>'C6 AVIACION AGRICOLA'!DX11/'C6 AVIACION AGRICOLA'!DX16</f>
        <v>#DIV/0!</v>
      </c>
      <c r="DY19" s="36" t="e">
        <f>'C6 AVIACION AGRICOLA'!DY11/'C6 AVIACION AGRICOLA'!DY16</f>
        <v>#DIV/0!</v>
      </c>
      <c r="DZ19" s="141" t="e">
        <f>'C6 AVIACION AGRICOLA'!DZ11/'C6 AVIACION AGRICOLA'!DZ16</f>
        <v>#DIV/0!</v>
      </c>
      <c r="EA19" s="141" t="e">
        <f>'C6 AVIACION AGRICOLA'!EA11/'C6 AVIACION AGRICOLA'!EA16</f>
        <v>#DIV/0!</v>
      </c>
      <c r="EB19" s="36" t="e">
        <f>'C6 AVIACION AGRICOLA'!EB11/'C6 AVIACION AGRICOLA'!EB16</f>
        <v>#DIV/0!</v>
      </c>
      <c r="EC19" s="36" t="e">
        <f>'C6 AVIACION AGRICOLA'!EC11/'C6 AVIACION AGRICOLA'!EC16</f>
        <v>#DIV/0!</v>
      </c>
      <c r="ED19" s="141" t="e">
        <f>'C6 AVIACION AGRICOLA'!ED11/'C6 AVIACION AGRICOLA'!ED16</f>
        <v>#DIV/0!</v>
      </c>
      <c r="EE19" s="141">
        <f>'C6 AVIACION AGRICOLA'!EE11/'C6 AVIACION AGRICOLA'!EE16</f>
        <v>1.0704923864306948</v>
      </c>
      <c r="EF19" s="36" t="e">
        <f>'C6 AVIACION AGRICOLA'!EF11/'C6 AVIACION AGRICOLA'!EF16</f>
        <v>#DIV/0!</v>
      </c>
      <c r="EG19" s="36" t="e">
        <f>'C6 AVIACION AGRICOLA'!EG11/'C6 AVIACION AGRICOLA'!EG16</f>
        <v>#DIV/0!</v>
      </c>
      <c r="EH19" s="141" t="e">
        <f>'C6 AVIACION AGRICOLA'!EH11/'C6 AVIACION AGRICOLA'!EH16</f>
        <v>#DIV/0!</v>
      </c>
      <c r="EI19" s="141" t="e">
        <f>'C6 AVIACION AGRICOLA'!EI11/'C6 AVIACION AGRICOLA'!EI16</f>
        <v>#DIV/0!</v>
      </c>
      <c r="EJ19" s="36">
        <f>'C6 AVIACION AGRICOLA'!EJ11/'C6 AVIACION AGRICOLA'!EJ16</f>
        <v>11.279612338384476</v>
      </c>
      <c r="EK19" s="36" t="e">
        <f>'C6 AVIACION AGRICOLA'!EK11/'C6 AVIACION AGRICOLA'!EK16</f>
        <v>#DIV/0!</v>
      </c>
      <c r="EL19" s="141">
        <f>'C6 AVIACION AGRICOLA'!EL11/'C6 AVIACION AGRICOLA'!EL16</f>
        <v>43.340346600000004</v>
      </c>
      <c r="EM19" s="141" t="e">
        <f>'C6 AVIACION AGRICOLA'!EM11/'C6 AVIACION AGRICOLA'!EM16</f>
        <v>#DIV/0!</v>
      </c>
      <c r="EN19" s="36" t="e">
        <f>'C6 AVIACION AGRICOLA'!EN11/'C6 AVIACION AGRICOLA'!EN16</f>
        <v>#DIV/0!</v>
      </c>
      <c r="EO19" s="36" t="e">
        <f>'C6 AVIACION AGRICOLA'!EO11/'C6 AVIACION AGRICOLA'!EO16</f>
        <v>#DIV/0!</v>
      </c>
      <c r="EP19" s="141" t="e">
        <f>'C6 AVIACION AGRICOLA'!EP11/'C6 AVIACION AGRICOLA'!EP16</f>
        <v>#DIV/0!</v>
      </c>
      <c r="EQ19" s="141" t="e">
        <f>'C6 AVIACION AGRICOLA'!EQ11/'C6 AVIACION AGRICOLA'!EQ16</f>
        <v>#DIV/0!</v>
      </c>
      <c r="ER19" s="36" t="e">
        <f>'C6 AVIACION AGRICOLA'!ER11/'C6 AVIACION AGRICOLA'!ER16</f>
        <v>#DIV/0!</v>
      </c>
      <c r="ES19" s="36" t="e">
        <f>'C6 AVIACION AGRICOLA'!ES11/'C6 AVIACION AGRICOLA'!ES16</f>
        <v>#DIV/0!</v>
      </c>
      <c r="ET19" s="141" t="e">
        <f>'C6 AVIACION AGRICOLA'!ET11/'C6 AVIACION AGRICOLA'!ET16</f>
        <v>#DIV/0!</v>
      </c>
      <c r="EU19" s="141">
        <f>'C6 AVIACION AGRICOLA'!EU11/'C6 AVIACION AGRICOLA'!EU16</f>
        <v>2.529217468410552</v>
      </c>
      <c r="EV19" s="36">
        <f>'C6 AVIACION AGRICOLA'!EV11/'C6 AVIACION AGRICOLA'!EV16</f>
        <v>0.8197663881589414</v>
      </c>
      <c r="EW19" s="36" t="e">
        <f>'C6 AVIACION AGRICOLA'!EW11/'C6 AVIACION AGRICOLA'!EW16</f>
        <v>#DIV/0!</v>
      </c>
      <c r="EX19" s="141" t="e">
        <f>'C6 AVIACION AGRICOLA'!EX11/'C6 AVIACION AGRICOLA'!EX16</f>
        <v>#DIV/0!</v>
      </c>
      <c r="EY19" s="141">
        <f>'C6 AVIACION AGRICOLA'!EY11/'C6 AVIACION AGRICOLA'!EY16</f>
        <v>1.3664</v>
      </c>
      <c r="EZ19" s="36" t="e">
        <f>'C6 AVIACION AGRICOLA'!EZ11/'C6 AVIACION AGRICOLA'!EZ16</f>
        <v>#DIV/0!</v>
      </c>
      <c r="FA19" s="36" t="e">
        <f>'C6 AVIACION AGRICOLA'!FA11/'C6 AVIACION AGRICOLA'!FA16</f>
        <v>#DIV/0!</v>
      </c>
      <c r="FB19" s="141" t="e">
        <f>'C6 AVIACION AGRICOLA'!FB11/'C6 AVIACION AGRICOLA'!FB16</f>
        <v>#DIV/0!</v>
      </c>
      <c r="FC19" s="141" t="e">
        <f>'C6 AVIACION AGRICOLA'!FC11/'C6 AVIACION AGRICOLA'!FC16</f>
        <v>#DIV/0!</v>
      </c>
      <c r="FD19" s="36" t="e">
        <f>'C6 AVIACION AGRICOLA'!FD11/'C6 AVIACION AGRICOLA'!FD16</f>
        <v>#DIV/0!</v>
      </c>
      <c r="FE19" s="36" t="e">
        <f>'C6 AVIACION AGRICOLA'!FE11/'C6 AVIACION AGRICOLA'!FE16</f>
        <v>#DIV/0!</v>
      </c>
      <c r="FF19" s="143" t="e">
        <f>'C6 AVIACION AGRICOLA'!FF11/'C6 AVIACION AGRICOLA'!FF16</f>
        <v>#DIV/0!</v>
      </c>
      <c r="FG19" s="141" t="e">
        <f>'C6 AVIACION AGRICOLA'!FG11/'C6 AVIACION AGRICOLA'!FG16</f>
        <v>#DIV/0!</v>
      </c>
      <c r="FH19" s="36" t="e">
        <f>'C6 AVIACION AGRICOLA'!FH11/'C6 AVIACION AGRICOLA'!FH16</f>
        <v>#DIV/0!</v>
      </c>
      <c r="FI19" s="36" t="e">
        <f>'C6 AVIACION AGRICOLA'!FI11/'C6 AVIACION AGRICOLA'!FI16</f>
        <v>#DIV/0!</v>
      </c>
      <c r="FJ19" s="141" t="e">
        <f>'C6 AVIACION AGRICOLA'!FJ11/'C6 AVIACION AGRICOLA'!FJ16</f>
        <v>#DIV/0!</v>
      </c>
      <c r="FK19" s="141" t="e">
        <f>'C6 AVIACION AGRICOLA'!FK11/'C6 AVIACION AGRICOLA'!FK16</f>
        <v>#DIV/0!</v>
      </c>
      <c r="FL19" s="36" t="e">
        <f>'C6 AVIACION AGRICOLA'!FL11/'C6 AVIACION AGRICOLA'!FL16</f>
        <v>#DIV/0!</v>
      </c>
      <c r="FM19" s="36" t="e">
        <f>'C6 AVIACION AGRICOLA'!FM11/'C6 AVIACION AGRICOLA'!FM16</f>
        <v>#DIV/0!</v>
      </c>
      <c r="FN19" s="141" t="e">
        <f>'C6 AVIACION AGRICOLA'!FN11/'C6 AVIACION AGRICOLA'!FN16</f>
        <v>#DIV/0!</v>
      </c>
      <c r="FO19" s="141" t="e">
        <f>'C6 AVIACION AGRICOLA'!FO11/'C6 AVIACION AGRICOLA'!FO16</f>
        <v>#DIV/0!</v>
      </c>
    </row>
    <row r="20" spans="1:171" ht="12.75">
      <c r="A20" s="41" t="s">
        <v>48</v>
      </c>
      <c r="B20" s="36">
        <f>'C6 AVIACION AGRICOLA'!B13/'C6 AVIACION AGRICOLA'!B18</f>
        <v>3.1562758044995696</v>
      </c>
      <c r="C20" s="36">
        <f>'C6 AVIACION AGRICOLA'!C13/'C6 AVIACION AGRICOLA'!C18</f>
        <v>1.9141078975233348</v>
      </c>
      <c r="D20" s="141">
        <f>'C6 AVIACION AGRICOLA'!D13/'C6 AVIACION AGRICOLA'!D18</f>
        <v>2.578610427085991</v>
      </c>
      <c r="E20" s="141">
        <f>'C6 AVIACION AGRICOLA'!E13/'C6 AVIACION AGRICOLA'!E18</f>
        <v>2.952183491672325</v>
      </c>
      <c r="F20" s="36">
        <f>'C6 AVIACION AGRICOLA'!F13/'C6 AVIACION AGRICOLA'!F18</f>
        <v>3.988881508787322</v>
      </c>
      <c r="G20" s="36">
        <f>'C6 AVIACION AGRICOLA'!G13/'C6 AVIACION AGRICOLA'!G18</f>
        <v>3.6359717453414646</v>
      </c>
      <c r="H20" s="141">
        <f>'C6 AVIACION AGRICOLA'!H13/'C6 AVIACION AGRICOLA'!H18</f>
        <v>6.7154592520913035</v>
      </c>
      <c r="I20" s="141">
        <f>'C6 AVIACION AGRICOLA'!I13/'C6 AVIACION AGRICOLA'!I18</f>
        <v>5.287945981401962</v>
      </c>
      <c r="J20" s="36" t="e">
        <f>'C6 AVIACION AGRICOLA'!J13/'C6 AVIACION AGRICOLA'!J18</f>
        <v>#DIV/0!</v>
      </c>
      <c r="K20" s="36">
        <f>'C6 AVIACION AGRICOLA'!K13/'C6 AVIACION AGRICOLA'!K18</f>
        <v>1.3270865171855282</v>
      </c>
      <c r="L20" s="141">
        <f>'C6 AVIACION AGRICOLA'!L13/'C6 AVIACION AGRICOLA'!L18</f>
        <v>1.5244550698381212</v>
      </c>
      <c r="M20" s="141" t="e">
        <f>'C6 AVIACION AGRICOLA'!M13/'C6 AVIACION AGRICOLA'!M18</f>
        <v>#DIV/0!</v>
      </c>
      <c r="N20" s="36" t="e">
        <f>'C6 AVIACION AGRICOLA'!N13/'C6 AVIACION AGRICOLA'!N18</f>
        <v>#DIV/0!</v>
      </c>
      <c r="O20" s="36">
        <f>'C6 AVIACION AGRICOLA'!O13/'C6 AVIACION AGRICOLA'!O18</f>
        <v>1.2969983184110947</v>
      </c>
      <c r="P20" s="141">
        <f>'C6 AVIACION AGRICOLA'!P13/'C6 AVIACION AGRICOLA'!P18</f>
        <v>1.4102810694709345</v>
      </c>
      <c r="Q20" s="141">
        <f>'C6 AVIACION AGRICOLA'!Q13/'C6 AVIACION AGRICOLA'!Q18</f>
        <v>1.218252840909091</v>
      </c>
      <c r="R20" s="36">
        <f>'C6 AVIACION AGRICOLA'!R13/'C6 AVIACION AGRICOLA'!R18</f>
        <v>3.258780811395852</v>
      </c>
      <c r="S20" s="36">
        <f>'C6 AVIACION AGRICOLA'!S13/'C6 AVIACION AGRICOLA'!S18</f>
        <v>4.376721626274666</v>
      </c>
      <c r="T20" s="141">
        <f>'C6 AVIACION AGRICOLA'!T13/'C6 AVIACION AGRICOLA'!T18</f>
        <v>1.4713237450599486</v>
      </c>
      <c r="U20" s="141">
        <f>'C6 AVIACION AGRICOLA'!U13/'C6 AVIACION AGRICOLA'!U18</f>
        <v>1.2379036613385215</v>
      </c>
      <c r="V20" s="36" t="e">
        <f>'C6 AVIACION AGRICOLA'!V13/'C6 AVIACION AGRICOLA'!V18</f>
        <v>#DIV/0!</v>
      </c>
      <c r="W20" s="36">
        <f>'C6 AVIACION AGRICOLA'!W13/'C6 AVIACION AGRICOLA'!W18</f>
        <v>1.5690790544191762</v>
      </c>
      <c r="X20" s="141">
        <f>'C6 AVIACION AGRICOLA'!X13/'C6 AVIACION AGRICOLA'!X18</f>
        <v>1.6350200000579387</v>
      </c>
      <c r="Y20" s="141">
        <f>'C6 AVIACION AGRICOLA'!Y13/'C6 AVIACION AGRICOLA'!Y18</f>
        <v>1.6265879294966767</v>
      </c>
      <c r="Z20" s="36">
        <f>'C6 AVIACION AGRICOLA'!Z13/'C6 AVIACION AGRICOLA'!Z18</f>
        <v>1.332433827064382</v>
      </c>
      <c r="AA20" s="36" t="e">
        <f>'C6 AVIACION AGRICOLA'!AA13/'C6 AVIACION AGRICOLA'!AA18</f>
        <v>#DIV/0!</v>
      </c>
      <c r="AB20" s="141">
        <f>'C6 AVIACION AGRICOLA'!AB13/'C6 AVIACION AGRICOLA'!AB18</f>
        <v>1.5099315169366716</v>
      </c>
      <c r="AC20" s="36" t="e">
        <f>'C6 AVIACION AGRICOLA'!AC13/'C6 AVIACION AGRICOLA'!AC18</f>
        <v>#DIV/0!</v>
      </c>
      <c r="AD20" s="36" t="e">
        <f>'C6 AVIACION AGRICOLA'!AD13/'C6 AVIACION AGRICOLA'!AD18</f>
        <v>#DIV/0!</v>
      </c>
      <c r="AE20" s="141" t="e">
        <f>'C6 AVIACION AGRICOLA'!AE13/'C6 AVIACION AGRICOLA'!AE18</f>
        <v>#DIV/0!</v>
      </c>
      <c r="AF20" s="141">
        <f>'C6 AVIACION AGRICOLA'!AF13/'C6 AVIACION AGRICOLA'!AF18</f>
        <v>1.5515548839463045</v>
      </c>
      <c r="AG20" s="36">
        <f>'C6 AVIACION AGRICOLA'!AG13/'C6 AVIACION AGRICOLA'!AG18</f>
        <v>2.10601220823458</v>
      </c>
      <c r="AH20" s="36">
        <f>'C6 AVIACION AGRICOLA'!AH13/'C6 AVIACION AGRICOLA'!AH18</f>
        <v>1.7435402122293688</v>
      </c>
      <c r="AI20" s="141">
        <f>'C6 AVIACION AGRICOLA'!AI13/'C6 AVIACION AGRICOLA'!AI18</f>
        <v>1.9284399219380726</v>
      </c>
      <c r="AJ20" s="141">
        <f>'C6 AVIACION AGRICOLA'!AJ13/'C6 AVIACION AGRICOLA'!AJ18</f>
        <v>3.555374479081787</v>
      </c>
      <c r="AK20" s="36" t="e">
        <f>'C6 AVIACION AGRICOLA'!AK13/'C6 AVIACION AGRICOLA'!AK18</f>
        <v>#DIV/0!</v>
      </c>
      <c r="AL20" s="36" t="e">
        <f>'C6 AVIACION AGRICOLA'!AL13/'C6 AVIACION AGRICOLA'!AL18</f>
        <v>#DIV/0!</v>
      </c>
      <c r="AM20" s="141" t="e">
        <f>'C6 AVIACION AGRICOLA'!AM13/'C6 AVIACION AGRICOLA'!AM18</f>
        <v>#DIV/0!</v>
      </c>
      <c r="AN20" s="141" t="e">
        <f>'C6 AVIACION AGRICOLA'!AN13/'C6 AVIACION AGRICOLA'!AN18</f>
        <v>#DIV/0!</v>
      </c>
      <c r="AO20" s="36" t="e">
        <f>'C6 AVIACION AGRICOLA'!AO13/'C6 AVIACION AGRICOLA'!AO18</f>
        <v>#DIV/0!</v>
      </c>
      <c r="AP20" s="36" t="e">
        <f>'C6 AVIACION AGRICOLA'!AP13/'C6 AVIACION AGRICOLA'!AP18</f>
        <v>#DIV/0!</v>
      </c>
      <c r="AQ20" s="141">
        <f>'C6 AVIACION AGRICOLA'!AQ13/'C6 AVIACION AGRICOLA'!AQ18</f>
        <v>1.9174209116817278</v>
      </c>
      <c r="AR20" s="141">
        <f>'C6 AVIACION AGRICOLA'!AR13/'C6 AVIACION AGRICOLA'!AR18</f>
        <v>1.894724293319618</v>
      </c>
      <c r="AS20" s="36">
        <f>'C6 AVIACION AGRICOLA'!AS13/'C6 AVIACION AGRICOLA'!AS18</f>
        <v>1.7387919735377517</v>
      </c>
      <c r="AT20" s="36">
        <f>'C6 AVIACION AGRICOLA'!AT13/'C6 AVIACION AGRICOLA'!AT18</f>
        <v>1.9174851669016395</v>
      </c>
      <c r="AU20" s="141">
        <f>'C6 AVIACION AGRICOLA'!AU13/'C6 AVIACION AGRICOLA'!AU18</f>
        <v>5.909885870260114</v>
      </c>
      <c r="AV20" s="141">
        <f>'C6 AVIACION AGRICOLA'!AV13/'C6 AVIACION AGRICOLA'!AV18</f>
        <v>1.2655403109724666</v>
      </c>
      <c r="AW20" s="36" t="e">
        <f>'C6 AVIACION AGRICOLA'!AW13/'C6 AVIACION AGRICOLA'!AW18</f>
        <v>#DIV/0!</v>
      </c>
      <c r="AX20" s="36">
        <f>'C6 AVIACION AGRICOLA'!AX13/'C6 AVIACION AGRICOLA'!AX18</f>
        <v>1.331846153846154</v>
      </c>
      <c r="AY20" s="141">
        <f>'C6 AVIACION AGRICOLA'!AY13/'C6 AVIACION AGRICOLA'!AY18</f>
        <v>1.0323651452282159</v>
      </c>
      <c r="AZ20" s="141">
        <f>'C6 AVIACION AGRICOLA'!AZ13/'C6 AVIACION AGRICOLA'!AZ18</f>
        <v>1.2191401304898237</v>
      </c>
      <c r="BA20" s="36">
        <f>'C6 AVIACION AGRICOLA'!BA13/'C6 AVIACION AGRICOLA'!BA18</f>
        <v>12.142539456755534</v>
      </c>
      <c r="BB20" s="36">
        <f>'C6 AVIACION AGRICOLA'!BB13/'C6 AVIACION AGRICOLA'!BB18</f>
        <v>2.2454112850983816</v>
      </c>
      <c r="BC20" s="141">
        <f>'C6 AVIACION AGRICOLA'!BC13/'C6 AVIACION AGRICOLA'!BC18</f>
        <v>2.3589268378853157</v>
      </c>
      <c r="BD20" s="141">
        <f>'C6 AVIACION AGRICOLA'!BD13/'C6 AVIACION AGRICOLA'!BD18</f>
        <v>2.4898104697670274</v>
      </c>
      <c r="BE20" s="36" t="e">
        <f>'C6 AVIACION AGRICOLA'!BE13/'C6 AVIACION AGRICOLA'!BE18</f>
        <v>#DIV/0!</v>
      </c>
      <c r="BF20" s="36">
        <f>'C6 AVIACION AGRICOLA'!BF13/'C6 AVIACION AGRICOLA'!BF18</f>
        <v>2.1890698448209096</v>
      </c>
      <c r="BG20" s="141">
        <f>'C6 AVIACION AGRICOLA'!BG13/'C6 AVIACION AGRICOLA'!BG18</f>
        <v>4.967138567809132</v>
      </c>
      <c r="BH20" s="141">
        <f>'C6 AVIACION AGRICOLA'!BH13/'C6 AVIACION AGRICOLA'!BH18</f>
        <v>2.8965939730068135</v>
      </c>
      <c r="BI20" s="36" t="e">
        <f>'C6 AVIACION AGRICOLA'!BI13/'C6 AVIACION AGRICOLA'!BI18</f>
        <v>#DIV/0!</v>
      </c>
      <c r="BJ20" s="36" t="e">
        <f>'C6 AVIACION AGRICOLA'!BJ13/'C6 AVIACION AGRICOLA'!BJ18</f>
        <v>#DIV/0!</v>
      </c>
      <c r="BK20" s="141">
        <f>'C6 AVIACION AGRICOLA'!BK13/'C6 AVIACION AGRICOLA'!BK18</f>
        <v>11.304415750592057</v>
      </c>
      <c r="BL20" s="141">
        <f>'C6 AVIACION AGRICOLA'!BL13/'C6 AVIACION AGRICOLA'!BL18</f>
        <v>6.545279410523947</v>
      </c>
      <c r="BM20" s="36">
        <f>'C6 AVIACION AGRICOLA'!BM13/'C6 AVIACION AGRICOLA'!BM18</f>
        <v>0.22609391240548637</v>
      </c>
      <c r="BN20" s="36">
        <f>'C6 AVIACION AGRICOLA'!BN13/'C6 AVIACION AGRICOLA'!BN18</f>
        <v>0.6921664245882926</v>
      </c>
      <c r="BO20" s="141">
        <f>'C6 AVIACION AGRICOLA'!BO13/'C6 AVIACION AGRICOLA'!BO18</f>
        <v>3.0671099074300177</v>
      </c>
      <c r="BP20" s="141">
        <f>'C6 AVIACION AGRICOLA'!BP13/'C6 AVIACION AGRICOLA'!BP18</f>
        <v>2.891799388483295</v>
      </c>
      <c r="BQ20" s="36" t="e">
        <f>'C6 AVIACION AGRICOLA'!BQ13/'C6 AVIACION AGRICOLA'!BQ18</f>
        <v>#DIV/0!</v>
      </c>
      <c r="BR20" s="36" t="e">
        <f>'C6 AVIACION AGRICOLA'!BR13/'C6 AVIACION AGRICOLA'!BR18</f>
        <v>#DIV/0!</v>
      </c>
      <c r="BS20" s="141">
        <f>'C6 AVIACION AGRICOLA'!BS13/'C6 AVIACION AGRICOLA'!BS18</f>
        <v>1.4623587917964571</v>
      </c>
      <c r="BT20" s="141">
        <f>'C6 AVIACION AGRICOLA'!BT13/'C6 AVIACION AGRICOLA'!BT18</f>
        <v>2.1684405568218468</v>
      </c>
      <c r="BU20" s="36">
        <f>'C6 AVIACION AGRICOLA'!BU13/'C6 AVIACION AGRICOLA'!BU18</f>
        <v>38.47639704034711</v>
      </c>
      <c r="BV20" s="36">
        <f>'C6 AVIACION AGRICOLA'!BV13/'C6 AVIACION AGRICOLA'!BV18</f>
        <v>47.23384403951383</v>
      </c>
      <c r="BW20" s="141">
        <f>'C6 AVIACION AGRICOLA'!BW13/'C6 AVIACION AGRICOLA'!BW18</f>
        <v>57.94252708472013</v>
      </c>
      <c r="BX20" s="141">
        <f>'C6 AVIACION AGRICOLA'!BX13/'C6 AVIACION AGRICOLA'!BX18</f>
        <v>43.481870960674776</v>
      </c>
      <c r="BY20" s="36">
        <f>'C6 AVIACION AGRICOLA'!BY13/'C6 AVIACION AGRICOLA'!BY18</f>
        <v>3.3518605311362757</v>
      </c>
      <c r="BZ20" s="36">
        <f>'C6 AVIACION AGRICOLA'!BZ13/'C6 AVIACION AGRICOLA'!BZ18</f>
        <v>3.5637638487412326</v>
      </c>
      <c r="CA20" s="141">
        <f>'C6 AVIACION AGRICOLA'!CA13/'C6 AVIACION AGRICOLA'!CA18</f>
        <v>4.818375714175204</v>
      </c>
      <c r="CB20" s="141">
        <f>'C6 AVIACION AGRICOLA'!CB13/'C6 AVIACION AGRICOLA'!CB18</f>
        <v>3.663853593779632</v>
      </c>
      <c r="CC20" s="36" t="e">
        <f>'C6 AVIACION AGRICOLA'!CC13/'C6 AVIACION AGRICOLA'!CC18</f>
        <v>#DIV/0!</v>
      </c>
      <c r="CD20" s="36" t="e">
        <f>'C6 AVIACION AGRICOLA'!CD13/'C6 AVIACION AGRICOLA'!CD18</f>
        <v>#DIV/0!</v>
      </c>
      <c r="CE20" s="141">
        <f>'C6 AVIACION AGRICOLA'!CE13/'C6 AVIACION AGRICOLA'!CE18</f>
        <v>9.719376111839859</v>
      </c>
      <c r="CF20" s="141" t="e">
        <f>'C6 AVIACION AGRICOLA'!CF13/'C6 AVIACION AGRICOLA'!CF18</f>
        <v>#DIV/0!</v>
      </c>
      <c r="CG20" s="36">
        <f>'C6 AVIACION AGRICOLA'!CG13/'C6 AVIACION AGRICOLA'!CG18</f>
        <v>5.912058376638588</v>
      </c>
      <c r="CH20" s="36">
        <f>'C6 AVIACION AGRICOLA'!CH13/'C6 AVIACION AGRICOLA'!CH18</f>
        <v>3.982638144151813</v>
      </c>
      <c r="CI20" s="141">
        <f>'C6 AVIACION AGRICOLA'!CI13/'C6 AVIACION AGRICOLA'!CI18</f>
        <v>3.7592748549359642</v>
      </c>
      <c r="CJ20" s="141">
        <f>'C6 AVIACION AGRICOLA'!CJ13/'C6 AVIACION AGRICOLA'!CJ18</f>
        <v>4.461351538144815</v>
      </c>
      <c r="CK20" s="36" t="e">
        <f>'C6 AVIACION AGRICOLA'!CK13/'C6 AVIACION AGRICOLA'!CK18</f>
        <v>#DIV/0!</v>
      </c>
      <c r="CL20" s="36">
        <f>'C6 AVIACION AGRICOLA'!CL13/'C6 AVIACION AGRICOLA'!CL18</f>
        <v>2.1285939966240157</v>
      </c>
      <c r="CM20" s="141">
        <f>'C6 AVIACION AGRICOLA'!CM13/'C6 AVIACION AGRICOLA'!CM18</f>
        <v>1.964692424147785</v>
      </c>
      <c r="CN20" s="141">
        <f>'C6 AVIACION AGRICOLA'!CN13/'C6 AVIACION AGRICOLA'!CN18</f>
        <v>2.8266147022544157</v>
      </c>
      <c r="CO20" s="36" t="e">
        <f>'C6 AVIACION AGRICOLA'!CO13/'C6 AVIACION AGRICOLA'!CO18</f>
        <v>#DIV/0!</v>
      </c>
      <c r="CP20" s="36">
        <f>'C6 AVIACION AGRICOLA'!CP13/'C6 AVIACION AGRICOLA'!CP18</f>
        <v>4.87611228174959</v>
      </c>
      <c r="CQ20" s="141" t="e">
        <f>'C6 AVIACION AGRICOLA'!CQ13/'C6 AVIACION AGRICOLA'!CQ18</f>
        <v>#DIV/0!</v>
      </c>
      <c r="CR20" s="36" t="e">
        <f>'C6 AVIACION AGRICOLA'!CR13/'C6 AVIACION AGRICOLA'!CR18</f>
        <v>#DIV/0!</v>
      </c>
      <c r="CS20" s="36" t="e">
        <f>'C6 AVIACION AGRICOLA'!CS13/'C6 AVIACION AGRICOLA'!CS18</f>
        <v>#DIV/0!</v>
      </c>
      <c r="CT20" s="141" t="e">
        <f>'C6 AVIACION AGRICOLA'!CT13/'C6 AVIACION AGRICOLA'!CT18</f>
        <v>#DIV/0!</v>
      </c>
      <c r="CU20" s="141">
        <f>'C6 AVIACION AGRICOLA'!CU13/'C6 AVIACION AGRICOLA'!CU18</f>
        <v>1.558578043515476</v>
      </c>
      <c r="CV20" s="36">
        <f>'C6 AVIACION AGRICOLA'!CV13/'C6 AVIACION AGRICOLA'!CV18</f>
        <v>1.3843168099076804</v>
      </c>
      <c r="CW20" s="36">
        <f>'C6 AVIACION AGRICOLA'!CW13/'C6 AVIACION AGRICOLA'!CW18</f>
        <v>1.3643396577849973</v>
      </c>
      <c r="CX20" s="141">
        <f>'C6 AVIACION AGRICOLA'!CX13/'C6 AVIACION AGRICOLA'!CX18</f>
        <v>1.8173973044417229</v>
      </c>
      <c r="CY20" s="141">
        <f>'C6 AVIACION AGRICOLA'!CY13/'C6 AVIACION AGRICOLA'!CY18</f>
        <v>414.43758043758044</v>
      </c>
      <c r="CZ20" s="36" t="e">
        <f>'C6 AVIACION AGRICOLA'!CZ13/'C6 AVIACION AGRICOLA'!CZ18</f>
        <v>#DIV/0!</v>
      </c>
      <c r="DA20" s="36">
        <f>'C6 AVIACION AGRICOLA'!DA13/'C6 AVIACION AGRICOLA'!DA18</f>
        <v>9.373971965870087</v>
      </c>
      <c r="DB20" s="141">
        <f>'C6 AVIACION AGRICOLA'!DB13/'C6 AVIACION AGRICOLA'!DB18</f>
        <v>16.875157257562982</v>
      </c>
      <c r="DC20" s="141">
        <f>'C6 AVIACION AGRICOLA'!DC13/'C6 AVIACION AGRICOLA'!DC18</f>
        <v>6.442133725583508</v>
      </c>
      <c r="DD20" s="36">
        <f>'C6 AVIACION AGRICOLA'!DD13/'C6 AVIACION AGRICOLA'!DD18</f>
        <v>3.02184125357981</v>
      </c>
      <c r="DE20" s="36">
        <f>'C6 AVIACION AGRICOLA'!DE13/'C6 AVIACION AGRICOLA'!DE18</f>
        <v>3.635143820409222</v>
      </c>
      <c r="DF20" s="141">
        <f>'C6 AVIACION AGRICOLA'!DF13/'C6 AVIACION AGRICOLA'!DF18</f>
        <v>2.724849118922029</v>
      </c>
      <c r="DG20" s="141">
        <f>'C6 AVIACION AGRICOLA'!DG13/'C6 AVIACION AGRICOLA'!DG18</f>
        <v>3.178775392000707</v>
      </c>
      <c r="DH20" s="36" t="e">
        <f>'C6 AVIACION AGRICOLA'!DH13/'C6 AVIACION AGRICOLA'!DH18</f>
        <v>#DIV/0!</v>
      </c>
      <c r="DI20" s="36" t="e">
        <f>'C6 AVIACION AGRICOLA'!DI13/'C6 AVIACION AGRICOLA'!DI18</f>
        <v>#DIV/0!</v>
      </c>
      <c r="DJ20" s="141" t="e">
        <f>'C6 AVIACION AGRICOLA'!DJ13/'C6 AVIACION AGRICOLA'!DJ18</f>
        <v>#DIV/0!</v>
      </c>
      <c r="DK20" s="141" t="e">
        <f>'C6 AVIACION AGRICOLA'!DK13/'C6 AVIACION AGRICOLA'!DK18</f>
        <v>#DIV/0!</v>
      </c>
      <c r="DL20" s="36">
        <f>'C6 AVIACION AGRICOLA'!DL13/'C6 AVIACION AGRICOLA'!DL18</f>
        <v>3.2254153410140636</v>
      </c>
      <c r="DM20" s="36" t="e">
        <f>'C6 AVIACION AGRICOLA'!DM13/'C6 AVIACION AGRICOLA'!DM18</f>
        <v>#DIV/0!</v>
      </c>
      <c r="DN20" s="141" t="e">
        <f>'C6 AVIACION AGRICOLA'!DN13/'C6 AVIACION AGRICOLA'!DN18</f>
        <v>#DIV/0!</v>
      </c>
      <c r="DO20" s="141" t="e">
        <f>'C6 AVIACION AGRICOLA'!DO13/'C6 AVIACION AGRICOLA'!DO18</f>
        <v>#DIV/0!</v>
      </c>
      <c r="DP20" s="36" t="e">
        <f>'C6 AVIACION AGRICOLA'!DP13/'C6 AVIACION AGRICOLA'!DP18</f>
        <v>#DIV/0!</v>
      </c>
      <c r="DQ20" s="36">
        <f>'C6 AVIACION AGRICOLA'!DQ13/'C6 AVIACION AGRICOLA'!DQ18</f>
        <v>4.589802754000744</v>
      </c>
      <c r="DR20" s="141">
        <f>'C6 AVIACION AGRICOLA'!DR13/'C6 AVIACION AGRICOLA'!DR18</f>
        <v>4.752734797171566</v>
      </c>
      <c r="DS20" s="141" t="e">
        <f>'C6 AVIACION AGRICOLA'!DS13/'C6 AVIACION AGRICOLA'!DS18</f>
        <v>#DIV/0!</v>
      </c>
      <c r="DT20" s="36" t="e">
        <f>'C6 AVIACION AGRICOLA'!DT13/'C6 AVIACION AGRICOLA'!DT18</f>
        <v>#DIV/0!</v>
      </c>
      <c r="DU20" s="36">
        <f>'C6 AVIACION AGRICOLA'!DU13/'C6 AVIACION AGRICOLA'!DU18</f>
        <v>1.514658646730952</v>
      </c>
      <c r="DV20" s="141">
        <f>'C6 AVIACION AGRICOLA'!DV13/'C6 AVIACION AGRICOLA'!DV18</f>
        <v>2.049977454703282</v>
      </c>
      <c r="DW20" s="141" t="e">
        <f>'C6 AVIACION AGRICOLA'!DW13/'C6 AVIACION AGRICOLA'!DW18</f>
        <v>#DIV/0!</v>
      </c>
      <c r="DX20" s="36" t="e">
        <f>'C6 AVIACION AGRICOLA'!DX13/'C6 AVIACION AGRICOLA'!DX18</f>
        <v>#DIV/0!</v>
      </c>
      <c r="DY20" s="36">
        <f>'C6 AVIACION AGRICOLA'!DY13/'C6 AVIACION AGRICOLA'!DY18</f>
        <v>4.722302077307397</v>
      </c>
      <c r="DZ20" s="141">
        <f>'C6 AVIACION AGRICOLA'!DZ13/'C6 AVIACION AGRICOLA'!DZ18</f>
        <v>2.875410603613267</v>
      </c>
      <c r="EA20" s="141">
        <f>'C6 AVIACION AGRICOLA'!EA13/'C6 AVIACION AGRICOLA'!EA18</f>
        <v>3.409023761235885</v>
      </c>
      <c r="EB20" s="36" t="e">
        <f>'C6 AVIACION AGRICOLA'!EB13/'C6 AVIACION AGRICOLA'!EB18</f>
        <v>#DIV/0!</v>
      </c>
      <c r="EC20" s="36">
        <f>'C6 AVIACION AGRICOLA'!EC13/'C6 AVIACION AGRICOLA'!EC18</f>
        <v>1.5937509153122298</v>
      </c>
      <c r="ED20" s="141">
        <f>'C6 AVIACION AGRICOLA'!ED13/'C6 AVIACION AGRICOLA'!ED18</f>
        <v>1.5880875416060392</v>
      </c>
      <c r="EE20" s="141">
        <f>'C6 AVIACION AGRICOLA'!EE13/'C6 AVIACION AGRICOLA'!EE18</f>
        <v>1.5778233189188409</v>
      </c>
      <c r="EF20" s="36">
        <f>'C6 AVIACION AGRICOLA'!EF13/'C6 AVIACION AGRICOLA'!EF18</f>
        <v>2.787446773895027</v>
      </c>
      <c r="EG20" s="36">
        <f>'C6 AVIACION AGRICOLA'!EG13/'C6 AVIACION AGRICOLA'!EG18</f>
        <v>2.2318730615181015</v>
      </c>
      <c r="EH20" s="141">
        <f>'C6 AVIACION AGRICOLA'!EH13/'C6 AVIACION AGRICOLA'!EH18</f>
        <v>2.0430506700440985</v>
      </c>
      <c r="EI20" s="141">
        <f>'C6 AVIACION AGRICOLA'!EI13/'C6 AVIACION AGRICOLA'!EI18</f>
        <v>2.0863320121045597</v>
      </c>
      <c r="EJ20" s="36">
        <f>'C6 AVIACION AGRICOLA'!EJ13/'C6 AVIACION AGRICOLA'!EJ18</f>
        <v>4.6756085775931115</v>
      </c>
      <c r="EK20" s="36">
        <f>'C6 AVIACION AGRICOLA'!EK13/'C6 AVIACION AGRICOLA'!EK18</f>
        <v>6.171308689249604</v>
      </c>
      <c r="EL20" s="141">
        <f>'C6 AVIACION AGRICOLA'!EL13/'C6 AVIACION AGRICOLA'!EL18</f>
        <v>8.365965265207043</v>
      </c>
      <c r="EM20" s="141">
        <f>'C6 AVIACION AGRICOLA'!EM13/'C6 AVIACION AGRICOLA'!EM18</f>
        <v>5.113153745972993</v>
      </c>
      <c r="EN20" s="36">
        <f>'C6 AVIACION AGRICOLA'!EN13/'C6 AVIACION AGRICOLA'!EN18</f>
        <v>1.7831523707474701</v>
      </c>
      <c r="EO20" s="36">
        <f>'C6 AVIACION AGRICOLA'!EO13/'C6 AVIACION AGRICOLA'!EO18</f>
        <v>1.738920361904945</v>
      </c>
      <c r="EP20" s="141">
        <f>'C6 AVIACION AGRICOLA'!EP13/'C6 AVIACION AGRICOLA'!EP18</f>
        <v>1.7354251977533006</v>
      </c>
      <c r="EQ20" s="141" t="e">
        <f>'C6 AVIACION AGRICOLA'!EQ13/'C6 AVIACION AGRICOLA'!EQ18</f>
        <v>#DIV/0!</v>
      </c>
      <c r="ER20" s="36" t="e">
        <f>'C6 AVIACION AGRICOLA'!ER13/'C6 AVIACION AGRICOLA'!ER18</f>
        <v>#DIV/0!</v>
      </c>
      <c r="ES20" s="36" t="e">
        <f>'C6 AVIACION AGRICOLA'!ES13/'C6 AVIACION AGRICOLA'!ES18</f>
        <v>#DIV/0!</v>
      </c>
      <c r="ET20" s="141">
        <f>'C6 AVIACION AGRICOLA'!ET13/'C6 AVIACION AGRICOLA'!ET18</f>
        <v>4.572411861218272</v>
      </c>
      <c r="EU20" s="141">
        <f>'C6 AVIACION AGRICOLA'!EU13/'C6 AVIACION AGRICOLA'!EU18</f>
        <v>1.7592054115270424</v>
      </c>
      <c r="EV20" s="36">
        <f>'C6 AVIACION AGRICOLA'!EV13/'C6 AVIACION AGRICOLA'!EV18</f>
        <v>1.6771653390734398</v>
      </c>
      <c r="EW20" s="36">
        <f>'C6 AVIACION AGRICOLA'!EW13/'C6 AVIACION AGRICOLA'!EW18</f>
        <v>1.889755548615931</v>
      </c>
      <c r="EX20" s="141">
        <f>'C6 AVIACION AGRICOLA'!EX13/'C6 AVIACION AGRICOLA'!EX18</f>
        <v>1.5544818129117879</v>
      </c>
      <c r="EY20" s="141">
        <f>'C6 AVIACION AGRICOLA'!EY13/'C6 AVIACION AGRICOLA'!EY18</f>
        <v>1.553238051917374</v>
      </c>
      <c r="EZ20" s="36" t="e">
        <f>'C6 AVIACION AGRICOLA'!EZ13/'C6 AVIACION AGRICOLA'!EZ18</f>
        <v>#DIV/0!</v>
      </c>
      <c r="FA20" s="36">
        <f>'C6 AVIACION AGRICOLA'!FA13/'C6 AVIACION AGRICOLA'!FA18</f>
        <v>2.2418725887747244</v>
      </c>
      <c r="FB20" s="141">
        <f>'C6 AVIACION AGRICOLA'!FB13/'C6 AVIACION AGRICOLA'!FB18</f>
        <v>1.9656988020851829</v>
      </c>
      <c r="FC20" s="141" t="e">
        <f>'C6 AVIACION AGRICOLA'!FC13/'C6 AVIACION AGRICOLA'!FC18</f>
        <v>#DIV/0!</v>
      </c>
      <c r="FD20" s="36">
        <f>'C6 AVIACION AGRICOLA'!FD13/'C6 AVIACION AGRICOLA'!FD18</f>
        <v>3.222436090225564</v>
      </c>
      <c r="FE20" s="36" t="e">
        <f>'C6 AVIACION AGRICOLA'!FE13/'C6 AVIACION AGRICOLA'!FE18</f>
        <v>#DIV/0!</v>
      </c>
      <c r="FF20" s="143" t="e">
        <f>'C6 AVIACION AGRICOLA'!FF13/'C6 AVIACION AGRICOLA'!FF18</f>
        <v>#DIV/0!</v>
      </c>
      <c r="FG20" s="141" t="e">
        <f>'C6 AVIACION AGRICOLA'!FG13/'C6 AVIACION AGRICOLA'!FG18</f>
        <v>#DIV/0!</v>
      </c>
      <c r="FH20" s="36">
        <f>'C6 AVIACION AGRICOLA'!FH13/'C6 AVIACION AGRICOLA'!FH18</f>
        <v>1.6226180277755387</v>
      </c>
      <c r="FI20" s="36" t="e">
        <f>'C6 AVIACION AGRICOLA'!FI13/'C6 AVIACION AGRICOLA'!FI18</f>
        <v>#DIV/0!</v>
      </c>
      <c r="FJ20" s="141" t="e">
        <f>'C6 AVIACION AGRICOLA'!FJ13/'C6 AVIACION AGRICOLA'!FJ18</f>
        <v>#DIV/0!</v>
      </c>
      <c r="FK20" s="141">
        <f>'C6 AVIACION AGRICOLA'!FK13/'C6 AVIACION AGRICOLA'!FK18</f>
        <v>1.7822092696643252</v>
      </c>
      <c r="FL20" s="36" t="e">
        <f>'C6 AVIACION AGRICOLA'!FL13/'C6 AVIACION AGRICOLA'!FL18</f>
        <v>#DIV/0!</v>
      </c>
      <c r="FM20" s="36" t="e">
        <f>'C6 AVIACION AGRICOLA'!FM13/'C6 AVIACION AGRICOLA'!FM18</f>
        <v>#DIV/0!</v>
      </c>
      <c r="FN20" s="141" t="e">
        <f>'C6 AVIACION AGRICOLA'!FN13/'C6 AVIACION AGRICOLA'!FN18</f>
        <v>#DIV/0!</v>
      </c>
      <c r="FO20" s="141">
        <f>'C6 AVIACION AGRICOLA'!FO13/'C6 AVIACION AGRICOLA'!FO18</f>
        <v>4.179159284590184</v>
      </c>
    </row>
    <row r="21" spans="1:171" ht="12.75">
      <c r="A21" s="39" t="s">
        <v>51</v>
      </c>
      <c r="B21" s="37"/>
      <c r="C21" s="37"/>
      <c r="D21" s="142"/>
      <c r="E21" s="142"/>
      <c r="F21" s="37"/>
      <c r="G21" s="37"/>
      <c r="H21" s="142"/>
      <c r="I21" s="142"/>
      <c r="J21" s="37"/>
      <c r="K21" s="37"/>
      <c r="L21" s="142"/>
      <c r="M21" s="142"/>
      <c r="N21" s="37"/>
      <c r="O21" s="37"/>
      <c r="P21" s="142"/>
      <c r="Q21" s="142"/>
      <c r="R21" s="37"/>
      <c r="S21" s="37"/>
      <c r="T21" s="142"/>
      <c r="U21" s="142"/>
      <c r="V21" s="37"/>
      <c r="W21" s="37"/>
      <c r="X21" s="142"/>
      <c r="Y21" s="142"/>
      <c r="Z21" s="37"/>
      <c r="AA21" s="37"/>
      <c r="AB21" s="142"/>
      <c r="AC21" s="37"/>
      <c r="AD21" s="37"/>
      <c r="AE21" s="142"/>
      <c r="AF21" s="142"/>
      <c r="AG21" s="37"/>
      <c r="AH21" s="37"/>
      <c r="AI21" s="142"/>
      <c r="AJ21" s="142"/>
      <c r="AK21" s="37"/>
      <c r="AL21" s="37"/>
      <c r="AM21" s="142"/>
      <c r="AN21" s="142"/>
      <c r="AO21" s="37"/>
      <c r="AP21" s="37"/>
      <c r="AQ21" s="142"/>
      <c r="AR21" s="142"/>
      <c r="AS21" s="37"/>
      <c r="AT21" s="37"/>
      <c r="AU21" s="142"/>
      <c r="AV21" s="142"/>
      <c r="AW21" s="37"/>
      <c r="AX21" s="37"/>
      <c r="AY21" s="142"/>
      <c r="AZ21" s="142"/>
      <c r="BA21" s="37"/>
      <c r="BB21" s="37"/>
      <c r="BC21" s="142"/>
      <c r="BD21" s="142"/>
      <c r="BE21" s="37"/>
      <c r="BF21" s="37"/>
      <c r="BG21" s="142"/>
      <c r="BH21" s="142"/>
      <c r="BI21" s="37"/>
      <c r="BJ21" s="37"/>
      <c r="BK21" s="142"/>
      <c r="BL21" s="142"/>
      <c r="BM21" s="37"/>
      <c r="BN21" s="37"/>
      <c r="BO21" s="142"/>
      <c r="BP21" s="142"/>
      <c r="BQ21" s="37"/>
      <c r="BR21" s="37"/>
      <c r="BS21" s="142"/>
      <c r="BT21" s="142"/>
      <c r="BU21" s="37"/>
      <c r="BV21" s="37"/>
      <c r="BW21" s="142"/>
      <c r="BX21" s="142"/>
      <c r="BY21" s="37"/>
      <c r="BZ21" s="37"/>
      <c r="CA21" s="142"/>
      <c r="CB21" s="142"/>
      <c r="CC21" s="37"/>
      <c r="CD21" s="37"/>
      <c r="CE21" s="142"/>
      <c r="CF21" s="142"/>
      <c r="CG21" s="37"/>
      <c r="CH21" s="37"/>
      <c r="CI21" s="142"/>
      <c r="CJ21" s="142"/>
      <c r="CK21" s="37"/>
      <c r="CL21" s="37"/>
      <c r="CM21" s="142"/>
      <c r="CN21" s="142"/>
      <c r="CO21" s="37"/>
      <c r="CP21" s="37"/>
      <c r="CQ21" s="142"/>
      <c r="CR21" s="37"/>
      <c r="CS21" s="37"/>
      <c r="CT21" s="142"/>
      <c r="CU21" s="142"/>
      <c r="CV21" s="37"/>
      <c r="CW21" s="37"/>
      <c r="CX21" s="142"/>
      <c r="CY21" s="142"/>
      <c r="CZ21" s="37"/>
      <c r="DA21" s="37"/>
      <c r="DB21" s="142"/>
      <c r="DC21" s="142"/>
      <c r="DD21" s="37"/>
      <c r="DE21" s="37"/>
      <c r="DF21" s="142"/>
      <c r="DG21" s="142"/>
      <c r="DH21" s="37"/>
      <c r="DI21" s="37"/>
      <c r="DJ21" s="142"/>
      <c r="DK21" s="142"/>
      <c r="DL21" s="37"/>
      <c r="DM21" s="37"/>
      <c r="DN21" s="142"/>
      <c r="DO21" s="142"/>
      <c r="DP21" s="37"/>
      <c r="DQ21" s="37"/>
      <c r="DR21" s="142"/>
      <c r="DS21" s="142"/>
      <c r="DT21" s="37"/>
      <c r="DU21" s="37"/>
      <c r="DV21" s="142"/>
      <c r="DW21" s="142"/>
      <c r="DX21" s="37"/>
      <c r="DY21" s="37"/>
      <c r="DZ21" s="142"/>
      <c r="EA21" s="142"/>
      <c r="EB21" s="37"/>
      <c r="EC21" s="37"/>
      <c r="ED21" s="142"/>
      <c r="EE21" s="142"/>
      <c r="EF21" s="37"/>
      <c r="EG21" s="37"/>
      <c r="EH21" s="142"/>
      <c r="EI21" s="142"/>
      <c r="EJ21" s="37"/>
      <c r="EK21" s="37"/>
      <c r="EL21" s="142"/>
      <c r="EM21" s="142"/>
      <c r="EN21" s="37"/>
      <c r="EO21" s="37"/>
      <c r="EP21" s="142"/>
      <c r="EQ21" s="142"/>
      <c r="ER21" s="37"/>
      <c r="ES21" s="37"/>
      <c r="ET21" s="142"/>
      <c r="EU21" s="142"/>
      <c r="EV21" s="37"/>
      <c r="EW21" s="37"/>
      <c r="EX21" s="142"/>
      <c r="EY21" s="142"/>
      <c r="EZ21" s="37"/>
      <c r="FA21" s="37"/>
      <c r="FB21" s="142"/>
      <c r="FC21" s="142"/>
      <c r="FD21" s="37"/>
      <c r="FE21" s="37"/>
      <c r="FF21" s="144"/>
      <c r="FG21" s="142"/>
      <c r="FH21" s="37"/>
      <c r="FI21" s="37"/>
      <c r="FJ21" s="142"/>
      <c r="FK21" s="142"/>
      <c r="FL21" s="37"/>
      <c r="FM21" s="37"/>
      <c r="FN21" s="142"/>
      <c r="FO21" s="142"/>
    </row>
    <row r="22" spans="1:171" ht="12.75">
      <c r="A22" s="41" t="s">
        <v>56</v>
      </c>
      <c r="B22" s="36">
        <f>'C6 AVIACION AGRICOLA'!B24/'C6 AVIACION AGRICOLA'!B13</f>
        <v>0.564020515455642</v>
      </c>
      <c r="C22" s="36">
        <f>'C6 AVIACION AGRICOLA'!C24/'C6 AVIACION AGRICOLA'!C13</f>
        <v>0.49979844107627697</v>
      </c>
      <c r="D22" s="141">
        <f>'C6 AVIACION AGRICOLA'!D24/'C6 AVIACION AGRICOLA'!D13</f>
        <v>0.5992998777660439</v>
      </c>
      <c r="E22" s="141">
        <f>'C6 AVIACION AGRICOLA'!E24/'C6 AVIACION AGRICOLA'!E13</f>
        <v>0.5389757612978098</v>
      </c>
      <c r="F22" s="36">
        <f>'C6 AVIACION AGRICOLA'!F24/'C6 AVIACION AGRICOLA'!F13</f>
        <v>0.7493031573394582</v>
      </c>
      <c r="G22" s="36">
        <f>'C6 AVIACION AGRICOLA'!G24/'C6 AVIACION AGRICOLA'!G13</f>
        <v>0.7249703600471495</v>
      </c>
      <c r="H22" s="141">
        <f>'C6 AVIACION AGRICOLA'!H24/'C6 AVIACION AGRICOLA'!H13</f>
        <v>0.8510898564979043</v>
      </c>
      <c r="I22" s="141">
        <f>'C6 AVIACION AGRICOLA'!I24/'C6 AVIACION AGRICOLA'!I13</f>
        <v>0.8108906551774426</v>
      </c>
      <c r="J22" s="36" t="e">
        <f>'C6 AVIACION AGRICOLA'!J24/'C6 AVIACION AGRICOLA'!J13</f>
        <v>#DIV/0!</v>
      </c>
      <c r="K22" s="36">
        <f>'C6 AVIACION AGRICOLA'!K24/'C6 AVIACION AGRICOLA'!K13</f>
        <v>0.24646962520799215</v>
      </c>
      <c r="L22" s="141">
        <f>'C6 AVIACION AGRICOLA'!L24/'C6 AVIACION AGRICOLA'!L13</f>
        <v>0.34402789520592747</v>
      </c>
      <c r="M22" s="141" t="e">
        <f>'C6 AVIACION AGRICOLA'!M24/'C6 AVIACION AGRICOLA'!M13</f>
        <v>#DIV/0!</v>
      </c>
      <c r="N22" s="36" t="e">
        <f>'C6 AVIACION AGRICOLA'!N24/'C6 AVIACION AGRICOLA'!N13</f>
        <v>#DIV/0!</v>
      </c>
      <c r="O22" s="36">
        <f>'C6 AVIACION AGRICOLA'!O24/'C6 AVIACION AGRICOLA'!O13</f>
        <v>0.22898897723702247</v>
      </c>
      <c r="P22" s="141">
        <f>'C6 AVIACION AGRICOLA'!P24/'C6 AVIACION AGRICOLA'!P13</f>
        <v>0.2909214944237372</v>
      </c>
      <c r="Q22" s="141">
        <f>'C6 AVIACION AGRICOLA'!Q24/'C6 AVIACION AGRICOLA'!Q13</f>
        <v>0.17915233486853613</v>
      </c>
      <c r="R22" s="36">
        <f>'C6 AVIACION AGRICOLA'!R24/'C6 AVIACION AGRICOLA'!R13</f>
        <v>0.6931367717328419</v>
      </c>
      <c r="S22" s="36">
        <f>'C6 AVIACION AGRICOLA'!S24/'C6 AVIACION AGRICOLA'!S13</f>
        <v>0.7715184822364016</v>
      </c>
      <c r="T22" s="141">
        <f>'C6 AVIACION AGRICOLA'!T24/'C6 AVIACION AGRICOLA'!T13</f>
        <v>0.3203399297010221</v>
      </c>
      <c r="U22" s="141">
        <f>'C6 AVIACION AGRICOLA'!U24/'C6 AVIACION AGRICOLA'!U13</f>
        <v>0.19665095736945573</v>
      </c>
      <c r="V22" s="36" t="e">
        <f>'C6 AVIACION AGRICOLA'!V24/'C6 AVIACION AGRICOLA'!V13</f>
        <v>#DIV/0!</v>
      </c>
      <c r="W22" s="36">
        <f>'C6 AVIACION AGRICOLA'!W24/'C6 AVIACION AGRICOLA'!W13</f>
        <v>0.36268348163619546</v>
      </c>
      <c r="X22" s="141">
        <f>'C6 AVIACION AGRICOLA'!X24/'C6 AVIACION AGRICOLA'!X13</f>
        <v>0.3883867553915837</v>
      </c>
      <c r="Y22" s="141">
        <f>'C6 AVIACION AGRICOLA'!Y24/'C6 AVIACION AGRICOLA'!Y13</f>
        <v>0.3852158568527485</v>
      </c>
      <c r="Z22" s="36">
        <f>'C6 AVIACION AGRICOLA'!Z24/'C6 AVIACION AGRICOLA'!Z13</f>
        <v>0.24949368614935302</v>
      </c>
      <c r="AA22" s="36" t="e">
        <f>'C6 AVIACION AGRICOLA'!AA24/'C6 AVIACION AGRICOLA'!AA13</f>
        <v>#DIV/0!</v>
      </c>
      <c r="AB22" s="141">
        <f>'C6 AVIACION AGRICOLA'!AB24/'C6 AVIACION AGRICOLA'!AB13</f>
        <v>0.3377183078946611</v>
      </c>
      <c r="AC22" s="36" t="e">
        <f>'C6 AVIACION AGRICOLA'!AC24/'C6 AVIACION AGRICOLA'!AC13</f>
        <v>#DIV/0!</v>
      </c>
      <c r="AD22" s="36" t="e">
        <f>'C6 AVIACION AGRICOLA'!AD24/'C6 AVIACION AGRICOLA'!AD13</f>
        <v>#DIV/0!</v>
      </c>
      <c r="AE22" s="141" t="e">
        <f>'C6 AVIACION AGRICOLA'!AE24/'C6 AVIACION AGRICOLA'!AE13</f>
        <v>#DIV/0!</v>
      </c>
      <c r="AF22" s="141">
        <f>'C6 AVIACION AGRICOLA'!AF24/'C6 AVIACION AGRICOLA'!AF13</f>
        <v>0.3554852552450168</v>
      </c>
      <c r="AG22" s="36">
        <f>'C6 AVIACION AGRICOLA'!AG24/'C6 AVIACION AGRICOLA'!AG13</f>
        <v>0.5251689443727032</v>
      </c>
      <c r="AH22" s="36">
        <f>'C6 AVIACION AGRICOLA'!AH24/'C6 AVIACION AGRICOLA'!AH13</f>
        <v>0.42645429274228125</v>
      </c>
      <c r="AI22" s="141">
        <f>'C6 AVIACION AGRICOLA'!AI24/'C6 AVIACION AGRICOLA'!AI13</f>
        <v>0.48144612025057293</v>
      </c>
      <c r="AJ22" s="141">
        <f>'C6 AVIACION AGRICOLA'!AJ24/'C6 AVIACION AGRICOLA'!AJ13</f>
        <v>0.7187356758384955</v>
      </c>
      <c r="AK22" s="36" t="e">
        <f>'C6 AVIACION AGRICOLA'!AK24/'C6 AVIACION AGRICOLA'!AK13</f>
        <v>#DIV/0!</v>
      </c>
      <c r="AL22" s="36" t="e">
        <f>'C6 AVIACION AGRICOLA'!AL24/'C6 AVIACION AGRICOLA'!AL13</f>
        <v>#DIV/0!</v>
      </c>
      <c r="AM22" s="141" t="e">
        <f>'C6 AVIACION AGRICOLA'!AM24/'C6 AVIACION AGRICOLA'!AM13</f>
        <v>#DIV/0!</v>
      </c>
      <c r="AN22" s="141" t="e">
        <f>'C6 AVIACION AGRICOLA'!AN24/'C6 AVIACION AGRICOLA'!AN13</f>
        <v>#DIV/0!</v>
      </c>
      <c r="AO22" s="36" t="e">
        <f>'C6 AVIACION AGRICOLA'!AO24/'C6 AVIACION AGRICOLA'!AO13</f>
        <v>#DIV/0!</v>
      </c>
      <c r="AP22" s="36" t="e">
        <f>'C6 AVIACION AGRICOLA'!AP24/'C6 AVIACION AGRICOLA'!AP13</f>
        <v>#DIV/0!</v>
      </c>
      <c r="AQ22" s="141">
        <f>'C6 AVIACION AGRICOLA'!AQ24/'C6 AVIACION AGRICOLA'!AQ13</f>
        <v>0.47846423589910203</v>
      </c>
      <c r="AR22" s="141">
        <f>'C6 AVIACION AGRICOLA'!AR24/'C6 AVIACION AGRICOLA'!AR13</f>
        <v>0.47222052441782286</v>
      </c>
      <c r="AS22" s="36">
        <f>'C6 AVIACION AGRICOLA'!AS24/'C6 AVIACION AGRICOLA'!AS13</f>
        <v>0.42488807446850774</v>
      </c>
      <c r="AT22" s="36">
        <f>'C6 AVIACION AGRICOLA'!AT24/'C6 AVIACION AGRICOLA'!AT13</f>
        <v>0.4784835798151983</v>
      </c>
      <c r="AU22" s="141">
        <f>'C6 AVIACION AGRICOLA'!AU24/'C6 AVIACION AGRICOLA'!AU13</f>
        <v>0.830791994642024</v>
      </c>
      <c r="AV22" s="141">
        <f>'C6 AVIACION AGRICOLA'!AV24/'C6 AVIACION AGRICOLA'!AV13</f>
        <v>0.20982366872882943</v>
      </c>
      <c r="AW22" s="36" t="e">
        <f>'C6 AVIACION AGRICOLA'!AW24/'C6 AVIACION AGRICOLA'!AW13</f>
        <v>#DIV/0!</v>
      </c>
      <c r="AX22" s="36">
        <f>'C6 AVIACION AGRICOLA'!AX24/'C6 AVIACION AGRICOLA'!AX13</f>
        <v>0.2491625274344461</v>
      </c>
      <c r="AY22" s="141">
        <f>'C6 AVIACION AGRICOLA'!AY24/'C6 AVIACION AGRICOLA'!AY13</f>
        <v>0.03135048231511254</v>
      </c>
      <c r="AZ22" s="141">
        <f>'C6 AVIACION AGRICOLA'!AZ24/'C6 AVIACION AGRICOLA'!AZ13</f>
        <v>0.17974974739103866</v>
      </c>
      <c r="BA22" s="36">
        <f>'C6 AVIACION AGRICOLA'!BA24/'C6 AVIACION AGRICOLA'!BA13</f>
        <v>0.5270117884366328</v>
      </c>
      <c r="BB22" s="36">
        <f>'C6 AVIACION AGRICOLA'!BB24/'C6 AVIACION AGRICOLA'!BB13</f>
        <v>0.18717187164160276</v>
      </c>
      <c r="BC22" s="141">
        <f>'C6 AVIACION AGRICOLA'!BC24/'C6 AVIACION AGRICOLA'!BC13</f>
        <v>0.5760784499845669</v>
      </c>
      <c r="BD22" s="141">
        <f>'C6 AVIACION AGRICOLA'!BD24/'C6 AVIACION AGRICOLA'!BD13</f>
        <v>0.598363003070844</v>
      </c>
      <c r="BE22" s="36" t="e">
        <f>'C6 AVIACION AGRICOLA'!BE24/'C6 AVIACION AGRICOLA'!BE13</f>
        <v>#DIV/0!</v>
      </c>
      <c r="BF22" s="36">
        <f>'C6 AVIACION AGRICOLA'!BF24/'C6 AVIACION AGRICOLA'!BF13</f>
        <v>0.5431855686604867</v>
      </c>
      <c r="BG22" s="141">
        <f>'C6 AVIACION AGRICOLA'!BG24/'C6 AVIACION AGRICOLA'!BG13</f>
        <v>0.7986768465690152</v>
      </c>
      <c r="BH22" s="141">
        <f>'C6 AVIACION AGRICOLA'!BH24/'C6 AVIACION AGRICOLA'!BH13</f>
        <v>0.6579492762174756</v>
      </c>
      <c r="BI22" s="36" t="e">
        <f>'C6 AVIACION AGRICOLA'!BI24/'C6 AVIACION AGRICOLA'!BI13</f>
        <v>#DIV/0!</v>
      </c>
      <c r="BJ22" s="36" t="e">
        <f>'C6 AVIACION AGRICOLA'!BJ24/'C6 AVIACION AGRICOLA'!BJ13</f>
        <v>#DIV/0!</v>
      </c>
      <c r="BK22" s="141">
        <f>'C6 AVIACION AGRICOLA'!BK24/'C6 AVIACION AGRICOLA'!BK13</f>
        <v>0.9115389930746641</v>
      </c>
      <c r="BL22" s="141">
        <f>'C6 AVIACION AGRICOLA'!BL24/'C6 AVIACION AGRICOLA'!BL13</f>
        <v>0.8472159858720709</v>
      </c>
      <c r="BM22" s="36">
        <f>'C6 AVIACION AGRICOLA'!BM24/'C6 AVIACION AGRICOLA'!BM13</f>
        <v>0.8097704225352113</v>
      </c>
      <c r="BN22" s="36">
        <f>'C6 AVIACION AGRICOLA'!BN24/'C6 AVIACION AGRICOLA'!BN13</f>
        <v>2.3012442438037293</v>
      </c>
      <c r="BO22" s="141">
        <f>'C6 AVIACION AGRICOLA'!BO24/'C6 AVIACION AGRICOLA'!BO13</f>
        <v>0.6174257222445573</v>
      </c>
      <c r="BP22" s="141">
        <f>'C6 AVIACION AGRICOLA'!BP24/'C6 AVIACION AGRICOLA'!BP13</f>
        <v>0.6541945461422604</v>
      </c>
      <c r="BQ22" s="36" t="e">
        <f>'C6 AVIACION AGRICOLA'!BQ24/'C6 AVIACION AGRICOLA'!BQ13</f>
        <v>#DIV/0!</v>
      </c>
      <c r="BR22" s="36" t="e">
        <f>'C6 AVIACION AGRICOLA'!BR24/'C6 AVIACION AGRICOLA'!BR13</f>
        <v>#DIV/0!</v>
      </c>
      <c r="BS22" s="141">
        <f>'C6 AVIACION AGRICOLA'!BS24/'C6 AVIACION AGRICOLA'!BS13</f>
        <v>0.316173290980434</v>
      </c>
      <c r="BT22" s="141">
        <f>'C6 AVIACION AGRICOLA'!BT24/'C6 AVIACION AGRICOLA'!BT13</f>
        <v>0.5388381012084562</v>
      </c>
      <c r="BU22" s="36">
        <f>'C6 AVIACION AGRICOLA'!BU24/'C6 AVIACION AGRICOLA'!BU13</f>
        <v>0.9740100405203901</v>
      </c>
      <c r="BV22" s="36">
        <f>'C6 AVIACION AGRICOLA'!BV24/'C6 AVIACION AGRICOLA'!BV13</f>
        <v>0.9788287520761652</v>
      </c>
      <c r="BW22" s="141">
        <f>'C6 AVIACION AGRICOLA'!BW24/'C6 AVIACION AGRICOLA'!BW13</f>
        <v>0.9827415177238829</v>
      </c>
      <c r="BX22" s="141">
        <f>'C6 AVIACION AGRICOLA'!BX24/'C6 AVIACION AGRICOLA'!BX13</f>
        <v>0.9770019095796405</v>
      </c>
      <c r="BY22" s="36">
        <f>'C6 AVIACION AGRICOLA'!BY24/'C6 AVIACION AGRICOLA'!BY13</f>
        <v>0.7016582310896446</v>
      </c>
      <c r="BZ22" s="36">
        <f>'C6 AVIACION AGRICOLA'!BZ24/'C6 AVIACION AGRICOLA'!BZ13</f>
        <v>0.719397793332122</v>
      </c>
      <c r="CA22" s="141">
        <f>'C6 AVIACION AGRICOLA'!CA24/'C6 AVIACION AGRICOLA'!CA13</f>
        <v>0.7924611820829798</v>
      </c>
      <c r="CB22" s="141">
        <f>'C6 AVIACION AGRICOLA'!CB24/'C6 AVIACION AGRICOLA'!CB13</f>
        <v>0.7270633297963198</v>
      </c>
      <c r="CC22" s="36" t="e">
        <f>'C6 AVIACION AGRICOLA'!CC24/'C6 AVIACION AGRICOLA'!CC13</f>
        <v>#DIV/0!</v>
      </c>
      <c r="CD22" s="36" t="e">
        <f>'C6 AVIACION AGRICOLA'!CD24/'C6 AVIACION AGRICOLA'!CD13</f>
        <v>#DIV/0!</v>
      </c>
      <c r="CE22" s="141">
        <f>'C6 AVIACION AGRICOLA'!CE24/'C6 AVIACION AGRICOLA'!CE13</f>
        <v>0.8971127376394222</v>
      </c>
      <c r="CF22" s="141" t="e">
        <f>'C6 AVIACION AGRICOLA'!CF24/'C6 AVIACION AGRICOLA'!CF13</f>
        <v>#DIV/0!</v>
      </c>
      <c r="CG22" s="36">
        <f>'C6 AVIACION AGRICOLA'!CG24/'C6 AVIACION AGRICOLA'!CG13</f>
        <v>0.8308541735732035</v>
      </c>
      <c r="CH22" s="36">
        <f>'C6 AVIACION AGRICOLA'!CH24/'C6 AVIACION AGRICOLA'!CH13</f>
        <v>0.7489101535703363</v>
      </c>
      <c r="CI22" s="141">
        <f>'C6 AVIACION AGRICOLA'!CI24/'C6 AVIACION AGRICOLA'!CI13</f>
        <v>0.7339912513481183</v>
      </c>
      <c r="CJ22" s="141">
        <f>'C6 AVIACION AGRICOLA'!CJ24/'C6 AVIACION AGRICOLA'!CJ13</f>
        <v>0.7758518539271679</v>
      </c>
      <c r="CK22" s="36" t="e">
        <f>'C6 AVIACION AGRICOLA'!CK24/'C6 AVIACION AGRICOLA'!CK13</f>
        <v>#DIV/0!</v>
      </c>
      <c r="CL22" s="36">
        <f>'C6 AVIACION AGRICOLA'!CL24/'C6 AVIACION AGRICOLA'!CL13</f>
        <v>0.5302063232415314</v>
      </c>
      <c r="CM22" s="141">
        <f>'C6 AVIACION AGRICOLA'!CM24/'C6 AVIACION AGRICOLA'!CM13</f>
        <v>0.491014477528835</v>
      </c>
      <c r="CN22" s="141">
        <f>'C6 AVIACION AGRICOLA'!CN24/'C6 AVIACION AGRICOLA'!CN13</f>
        <v>0.6462199113298206</v>
      </c>
      <c r="CO22" s="36" t="e">
        <f>'C6 AVIACION AGRICOLA'!CO24/'C6 AVIACION AGRICOLA'!CO13</f>
        <v>#DIV/0!</v>
      </c>
      <c r="CP22" s="36">
        <f>'C6 AVIACION AGRICOLA'!CP24/'C6 AVIACION AGRICOLA'!CP13</f>
        <v>0.7949193681297325</v>
      </c>
      <c r="CQ22" s="141" t="e">
        <f>'C6 AVIACION AGRICOLA'!CQ24/'C6 AVIACION AGRICOLA'!CQ13</f>
        <v>#DIV/0!</v>
      </c>
      <c r="CR22" s="36" t="e">
        <f>'C6 AVIACION AGRICOLA'!CR24/'C6 AVIACION AGRICOLA'!CR13</f>
        <v>#DIV/0!</v>
      </c>
      <c r="CS22" s="36" t="e">
        <f>'C6 AVIACION AGRICOLA'!CS24/'C6 AVIACION AGRICOLA'!CS13</f>
        <v>#DIV/0!</v>
      </c>
      <c r="CT22" s="141" t="e">
        <f>'C6 AVIACION AGRICOLA'!CT24/'C6 AVIACION AGRICOLA'!CT13</f>
        <v>#DIV/0!</v>
      </c>
      <c r="CU22" s="141">
        <f>'C6 AVIACION AGRICOLA'!CU24/'C6 AVIACION AGRICOLA'!CU13</f>
        <v>0.35838952424580944</v>
      </c>
      <c r="CV22" s="36">
        <f>'C6 AVIACION AGRICOLA'!CV24/'C6 AVIACION AGRICOLA'!CV13</f>
        <v>0.2776220061456238</v>
      </c>
      <c r="CW22" s="36">
        <f>'C6 AVIACION AGRICOLA'!CW24/'C6 AVIACION AGRICOLA'!CW13</f>
        <v>0.267044687667074</v>
      </c>
      <c r="CX22" s="141">
        <f>'C6 AVIACION AGRICOLA'!CX24/'C6 AVIACION AGRICOLA'!CX13</f>
        <v>0.4497625821519609</v>
      </c>
      <c r="CY22" s="141">
        <f>'C6 AVIACION AGRICOLA'!CY24/'C6 AVIACION AGRICOLA'!CY13</f>
        <v>0.9975870914048283</v>
      </c>
      <c r="CZ22" s="36" t="e">
        <f>'C6 AVIACION AGRICOLA'!CZ24/'C6 AVIACION AGRICOLA'!CZ13</f>
        <v>#DIV/0!</v>
      </c>
      <c r="DA22" s="36">
        <f>'C6 AVIACION AGRICOLA'!DA24/'C6 AVIACION AGRICOLA'!DA13</f>
        <v>0.20583825711297543</v>
      </c>
      <c r="DB22" s="141">
        <f>'C6 AVIACION AGRICOLA'!DB24/'C6 AVIACION AGRICOLA'!DB13</f>
        <v>0.940741292970658</v>
      </c>
      <c r="DC22" s="141">
        <f>'C6 AVIACION AGRICOLA'!DC24/'C6 AVIACION AGRICOLA'!DC13</f>
        <v>0.8447705845338054</v>
      </c>
      <c r="DD22" s="36">
        <f>'C6 AVIACION AGRICOLA'!DD24/'C6 AVIACION AGRICOLA'!DD13</f>
        <v>0.6690759321604487</v>
      </c>
      <c r="DE22" s="36">
        <f>'C6 AVIACION AGRICOLA'!DE24/'C6 AVIACION AGRICOLA'!DE13</f>
        <v>0.7249077195708135</v>
      </c>
      <c r="DF22" s="141">
        <f>'C6 AVIACION AGRICOLA'!DF24/'C6 AVIACION AGRICOLA'!DF13</f>
        <v>0.6330072028371219</v>
      </c>
      <c r="DG22" s="141">
        <f>'C6 AVIACION AGRICOLA'!DG24/'C6 AVIACION AGRICOLA'!DG13</f>
        <v>0.6854134449019361</v>
      </c>
      <c r="DH22" s="36" t="e">
        <f>'C6 AVIACION AGRICOLA'!DH24/'C6 AVIACION AGRICOLA'!DH13</f>
        <v>#DIV/0!</v>
      </c>
      <c r="DI22" s="36" t="e">
        <f>'C6 AVIACION AGRICOLA'!DI24/'C6 AVIACION AGRICOLA'!DI13</f>
        <v>#DIV/0!</v>
      </c>
      <c r="DJ22" s="141" t="e">
        <f>'C6 AVIACION AGRICOLA'!DJ24/'C6 AVIACION AGRICOLA'!DJ13</f>
        <v>#DIV/0!</v>
      </c>
      <c r="DK22" s="141" t="e">
        <f>'C6 AVIACION AGRICOLA'!DK24/'C6 AVIACION AGRICOLA'!DK13</f>
        <v>#DIV/0!</v>
      </c>
      <c r="DL22" s="36">
        <f>'C6 AVIACION AGRICOLA'!DL24/'C6 AVIACION AGRICOLA'!DL13</f>
        <v>0.689962409713844</v>
      </c>
      <c r="DM22" s="36" t="e">
        <f>'C6 AVIACION AGRICOLA'!DM24/'C6 AVIACION AGRICOLA'!DM13</f>
        <v>#DIV/0!</v>
      </c>
      <c r="DN22" s="141" t="e">
        <f>'C6 AVIACION AGRICOLA'!DN24/'C6 AVIACION AGRICOLA'!DN13</f>
        <v>#DIV/0!</v>
      </c>
      <c r="DO22" s="141" t="e">
        <f>'C6 AVIACION AGRICOLA'!DO24/'C6 AVIACION AGRICOLA'!DO13</f>
        <v>#DIV/0!</v>
      </c>
      <c r="DP22" s="36" t="e">
        <f>'C6 AVIACION AGRICOLA'!DP24/'C6 AVIACION AGRICOLA'!DP13</f>
        <v>#DIV/0!</v>
      </c>
      <c r="DQ22" s="36">
        <f>'C6 AVIACION AGRICOLA'!DQ24/'C6 AVIACION AGRICOLA'!DQ13</f>
        <v>0.7821257135443694</v>
      </c>
      <c r="DR22" s="141">
        <f>'C6 AVIACION AGRICOLA'!DR24/'C6 AVIACION AGRICOLA'!DR13</f>
        <v>0.7895948243114433</v>
      </c>
      <c r="DS22" s="141">
        <f>'C6 AVIACION AGRICOLA'!DS24/'C6 AVIACION AGRICOLA'!DS13</f>
        <v>0.9999918983731934</v>
      </c>
      <c r="DT22" s="36" t="e">
        <f>'C6 AVIACION AGRICOLA'!DT24/'C6 AVIACION AGRICOLA'!DT13</f>
        <v>#DIV/0!</v>
      </c>
      <c r="DU22" s="36">
        <f>'C6 AVIACION AGRICOLA'!DU24/'C6 AVIACION AGRICOLA'!DU13</f>
        <v>0.339785236654956</v>
      </c>
      <c r="DV22" s="141">
        <f>'C6 AVIACION AGRICOLA'!DV24/'C6 AVIACION AGRICOLA'!DV13</f>
        <v>0.5121897571577233</v>
      </c>
      <c r="DW22" s="141" t="e">
        <f>'C6 AVIACION AGRICOLA'!DW24/'C6 AVIACION AGRICOLA'!DW13</f>
        <v>#DIV/0!</v>
      </c>
      <c r="DX22" s="36" t="e">
        <f>'C6 AVIACION AGRICOLA'!DX24/'C6 AVIACION AGRICOLA'!DX13</f>
        <v>#DIV/0!</v>
      </c>
      <c r="DY22" s="36">
        <f>'C6 AVIACION AGRICOLA'!DY24/'C6 AVIACION AGRICOLA'!DY13</f>
        <v>0.7882388751017408</v>
      </c>
      <c r="DZ22" s="141">
        <f>'C6 AVIACION AGRICOLA'!DZ24/'C6 AVIACION AGRICOLA'!DZ13</f>
        <v>0.6522235820013355</v>
      </c>
      <c r="EA22" s="141">
        <f>'C6 AVIACION AGRICOLA'!EA24/'C6 AVIACION AGRICOLA'!EA13</f>
        <v>0.7066535441745683</v>
      </c>
      <c r="EB22" s="36" t="e">
        <f>'C6 AVIACION AGRICOLA'!EB24/'C6 AVIACION AGRICOLA'!EB13</f>
        <v>#DIV/0!</v>
      </c>
      <c r="EC22" s="36">
        <f>'C6 AVIACION AGRICOLA'!EC24/'C6 AVIACION AGRICOLA'!EC13</f>
        <v>0.3725493799612399</v>
      </c>
      <c r="ED22" s="141">
        <f>'C6 AVIACION AGRICOLA'!ED24/'C6 AVIACION AGRICOLA'!ED13</f>
        <v>0.370311790879805</v>
      </c>
      <c r="EE22" s="141">
        <f>'C6 AVIACION AGRICOLA'!EE24/'C6 AVIACION AGRICOLA'!EE13</f>
        <v>0.36621612973582923</v>
      </c>
      <c r="EF22" s="36">
        <f>'C6 AVIACION AGRICOLA'!EF24/'C6 AVIACION AGRICOLA'!EF13</f>
        <v>0.6412487551815549</v>
      </c>
      <c r="EG22" s="36">
        <f>'C6 AVIACION AGRICOLA'!EG24/'C6 AVIACION AGRICOLA'!EG13</f>
        <v>0.5519458443932252</v>
      </c>
      <c r="EH22" s="141">
        <f>'C6 AVIACION AGRICOLA'!EH24/'C6 AVIACION AGRICOLA'!EH13</f>
        <v>0.5105358791818827</v>
      </c>
      <c r="EI22" s="141">
        <f>'C6 AVIACION AGRICOLA'!EI24/'C6 AVIACION AGRICOLA'!EI13</f>
        <v>0.5206893464089728</v>
      </c>
      <c r="EJ22" s="36">
        <f>'C6 AVIACION AGRICOLA'!EJ24/'C6 AVIACION AGRICOLA'!EJ13</f>
        <v>0.7861240984131362</v>
      </c>
      <c r="EK22" s="36">
        <f>'C6 AVIACION AGRICOLA'!EK24/'C6 AVIACION AGRICOLA'!EK13</f>
        <v>0.8379598152751626</v>
      </c>
      <c r="EL22" s="141">
        <f>'C6 AVIACION AGRICOLA'!EL24/'C6 AVIACION AGRICOLA'!EL13</f>
        <v>0.8804680669475319</v>
      </c>
      <c r="EM22" s="141">
        <f>'C6 AVIACION AGRICOLA'!EM24/'C6 AVIACION AGRICOLA'!EM13</f>
        <v>0.8044233053335442</v>
      </c>
      <c r="EN22" s="36">
        <f>'C6 AVIACION AGRICOLA'!EN24/'C6 AVIACION AGRICOLA'!EN13</f>
        <v>0.43919542917085924</v>
      </c>
      <c r="EO22" s="36">
        <f>'C6 AVIACION AGRICOLA'!EO24/'C6 AVIACION AGRICOLA'!EO13</f>
        <v>0.42493053626416544</v>
      </c>
      <c r="EP22" s="141">
        <f>'C6 AVIACION AGRICOLA'!EP24/'C6 AVIACION AGRICOLA'!EP13</f>
        <v>0.4237721184573909</v>
      </c>
      <c r="EQ22" s="141" t="e">
        <f>'C6 AVIACION AGRICOLA'!EQ24/'C6 AVIACION AGRICOLA'!EQ13</f>
        <v>#DIV/0!</v>
      </c>
      <c r="ER22" s="36" t="e">
        <f>'C6 AVIACION AGRICOLA'!ER24/'C6 AVIACION AGRICOLA'!ER13</f>
        <v>#DIV/0!</v>
      </c>
      <c r="ES22" s="36" t="e">
        <f>'C6 AVIACION AGRICOLA'!ES24/'C6 AVIACION AGRICOLA'!ES13</f>
        <v>#DIV/0!</v>
      </c>
      <c r="ET22" s="141">
        <f>'C6 AVIACION AGRICOLA'!ET24/'C6 AVIACION AGRICOLA'!ET13</f>
        <v>0.781297041834381</v>
      </c>
      <c r="EU22" s="141">
        <f>'C6 AVIACION AGRICOLA'!EU24/'C6 AVIACION AGRICOLA'!EU13</f>
        <v>0.4315615484993475</v>
      </c>
      <c r="EV22" s="36">
        <f>'C6 AVIACION AGRICOLA'!EV24/'C6 AVIACION AGRICOLA'!EV13</f>
        <v>0.4037553189736993</v>
      </c>
      <c r="EW22" s="36">
        <f>'C6 AVIACION AGRICOLA'!EW24/'C6 AVIACION AGRICOLA'!EW13</f>
        <v>0.47083102852514125</v>
      </c>
      <c r="EX22" s="141">
        <f>'C6 AVIACION AGRICOLA'!EX24/'C6 AVIACION AGRICOLA'!EX13</f>
        <v>0.35669881005114923</v>
      </c>
      <c r="EY22" s="141">
        <f>'C6 AVIACION AGRICOLA'!EY24/'C6 AVIACION AGRICOLA'!EY13</f>
        <v>0.35618368429387676</v>
      </c>
      <c r="EZ22" s="36" t="e">
        <f>'C6 AVIACION AGRICOLA'!EZ24/'C6 AVIACION AGRICOLA'!EZ13</f>
        <v>#DIV/0!</v>
      </c>
      <c r="FA22" s="36">
        <f>'C6 AVIACION AGRICOLA'!FA24/'C6 AVIACION AGRICOLA'!FA13</f>
        <v>0.5539443209185491</v>
      </c>
      <c r="FB22" s="141">
        <f>'C6 AVIACION AGRICOLA'!FB24/'C6 AVIACION AGRICOLA'!FB13</f>
        <v>0.4912750626193518</v>
      </c>
      <c r="FC22" s="141" t="e">
        <f>'C6 AVIACION AGRICOLA'!FC24/'C6 AVIACION AGRICOLA'!FC13</f>
        <v>#DIV/0!</v>
      </c>
      <c r="FD22" s="36">
        <f>'C6 AVIACION AGRICOLA'!FD24/'C6 AVIACION AGRICOLA'!FD13</f>
        <v>0.689675769510761</v>
      </c>
      <c r="FE22" s="36" t="e">
        <f>'C6 AVIACION AGRICOLA'!FE24/'C6 AVIACION AGRICOLA'!FE13</f>
        <v>#DIV/0!</v>
      </c>
      <c r="FF22" s="143">
        <f>'C6 AVIACION AGRICOLA'!FF24/'C6 AVIACION AGRICOLA'!FF13</f>
        <v>1</v>
      </c>
      <c r="FG22" s="141" t="e">
        <f>'C6 AVIACION AGRICOLA'!FG24/'C6 AVIACION AGRICOLA'!FG13</f>
        <v>#DIV/0!</v>
      </c>
      <c r="FH22" s="36">
        <f>'C6 AVIACION AGRICOLA'!FH24/'C6 AVIACION AGRICOLA'!FH13</f>
        <v>0.3837120117721676</v>
      </c>
      <c r="FI22" s="36" t="e">
        <f>'C6 AVIACION AGRICOLA'!FI24/'C6 AVIACION AGRICOLA'!FI13</f>
        <v>#DIV/0!</v>
      </c>
      <c r="FJ22" s="141" t="e">
        <f>'C6 AVIACION AGRICOLA'!FJ24/'C6 AVIACION AGRICOLA'!FJ13</f>
        <v>#DIV/0!</v>
      </c>
      <c r="FK22" s="141">
        <f>'C6 AVIACION AGRICOLA'!FK24/'C6 AVIACION AGRICOLA'!FK13</f>
        <v>0.4388989456946511</v>
      </c>
      <c r="FL22" s="36" t="e">
        <f>'C6 AVIACION AGRICOLA'!FL24/'C6 AVIACION AGRICOLA'!FL13</f>
        <v>#DIV/0!</v>
      </c>
      <c r="FM22" s="36" t="e">
        <f>'C6 AVIACION AGRICOLA'!FM24/'C6 AVIACION AGRICOLA'!FM13</f>
        <v>#DIV/0!</v>
      </c>
      <c r="FN22" s="141" t="e">
        <f>'C6 AVIACION AGRICOLA'!FN24/'C6 AVIACION AGRICOLA'!FN13</f>
        <v>#DIV/0!</v>
      </c>
      <c r="FO22" s="141">
        <f>'C6 AVIACION AGRICOLA'!FO24/'C6 AVIACION AGRICOLA'!FO13</f>
        <v>0.7607174237920769</v>
      </c>
    </row>
    <row r="23" spans="1:171" ht="12.75">
      <c r="A23" s="39" t="s">
        <v>52</v>
      </c>
      <c r="B23" s="37"/>
      <c r="C23" s="37"/>
      <c r="D23" s="142"/>
      <c r="E23" s="142"/>
      <c r="F23" s="37"/>
      <c r="G23" s="37"/>
      <c r="H23" s="142"/>
      <c r="I23" s="142"/>
      <c r="J23" s="37"/>
      <c r="K23" s="37"/>
      <c r="L23" s="142"/>
      <c r="M23" s="142"/>
      <c r="N23" s="37"/>
      <c r="O23" s="37"/>
      <c r="P23" s="142"/>
      <c r="Q23" s="142"/>
      <c r="R23" s="37"/>
      <c r="S23" s="37"/>
      <c r="T23" s="142"/>
      <c r="U23" s="142"/>
      <c r="V23" s="37"/>
      <c r="W23" s="37"/>
      <c r="X23" s="142"/>
      <c r="Y23" s="142"/>
      <c r="Z23" s="37"/>
      <c r="AA23" s="37"/>
      <c r="AB23" s="142"/>
      <c r="AC23" s="37"/>
      <c r="AD23" s="37"/>
      <c r="AE23" s="142"/>
      <c r="AF23" s="142"/>
      <c r="AG23" s="37"/>
      <c r="AH23" s="37"/>
      <c r="AI23" s="142"/>
      <c r="AJ23" s="142"/>
      <c r="AK23" s="37"/>
      <c r="AL23" s="37"/>
      <c r="AM23" s="142"/>
      <c r="AN23" s="142"/>
      <c r="AO23" s="37"/>
      <c r="AP23" s="37"/>
      <c r="AQ23" s="142"/>
      <c r="AR23" s="142"/>
      <c r="AS23" s="37"/>
      <c r="AT23" s="37"/>
      <c r="AU23" s="142"/>
      <c r="AV23" s="142"/>
      <c r="AW23" s="37"/>
      <c r="AX23" s="37"/>
      <c r="AY23" s="142"/>
      <c r="AZ23" s="142"/>
      <c r="BA23" s="37"/>
      <c r="BB23" s="37"/>
      <c r="BC23" s="142"/>
      <c r="BD23" s="142"/>
      <c r="BE23" s="37"/>
      <c r="BF23" s="37"/>
      <c r="BG23" s="142"/>
      <c r="BH23" s="142"/>
      <c r="BI23" s="37"/>
      <c r="BJ23" s="37"/>
      <c r="BK23" s="142"/>
      <c r="BL23" s="142"/>
      <c r="BM23" s="37"/>
      <c r="BN23" s="37"/>
      <c r="BO23" s="142"/>
      <c r="BP23" s="142"/>
      <c r="BQ23" s="37"/>
      <c r="BR23" s="37"/>
      <c r="BS23" s="142"/>
      <c r="BT23" s="142"/>
      <c r="BU23" s="37"/>
      <c r="BV23" s="37"/>
      <c r="BW23" s="142"/>
      <c r="BX23" s="142"/>
      <c r="BY23" s="37"/>
      <c r="BZ23" s="37"/>
      <c r="CA23" s="142"/>
      <c r="CB23" s="142"/>
      <c r="CC23" s="37"/>
      <c r="CD23" s="37"/>
      <c r="CE23" s="142"/>
      <c r="CF23" s="142"/>
      <c r="CG23" s="37"/>
      <c r="CH23" s="37"/>
      <c r="CI23" s="142"/>
      <c r="CJ23" s="142"/>
      <c r="CK23" s="37"/>
      <c r="CL23" s="37"/>
      <c r="CM23" s="142"/>
      <c r="CN23" s="142"/>
      <c r="CO23" s="37"/>
      <c r="CP23" s="37"/>
      <c r="CQ23" s="142"/>
      <c r="CR23" s="37"/>
      <c r="CS23" s="37"/>
      <c r="CT23" s="142"/>
      <c r="CU23" s="142"/>
      <c r="CV23" s="37"/>
      <c r="CW23" s="37"/>
      <c r="CX23" s="142"/>
      <c r="CY23" s="142"/>
      <c r="CZ23" s="37"/>
      <c r="DA23" s="37"/>
      <c r="DB23" s="142"/>
      <c r="DC23" s="142"/>
      <c r="DD23" s="37"/>
      <c r="DE23" s="37"/>
      <c r="DF23" s="142"/>
      <c r="DG23" s="142"/>
      <c r="DH23" s="37"/>
      <c r="DI23" s="37"/>
      <c r="DJ23" s="142"/>
      <c r="DK23" s="142"/>
      <c r="DL23" s="37"/>
      <c r="DM23" s="37"/>
      <c r="DN23" s="142"/>
      <c r="DO23" s="142"/>
      <c r="DP23" s="37"/>
      <c r="DQ23" s="37"/>
      <c r="DR23" s="142"/>
      <c r="DS23" s="142"/>
      <c r="DT23" s="37"/>
      <c r="DU23" s="37"/>
      <c r="DV23" s="142"/>
      <c r="DW23" s="142"/>
      <c r="DX23" s="37"/>
      <c r="DY23" s="37"/>
      <c r="DZ23" s="142"/>
      <c r="EA23" s="142"/>
      <c r="EB23" s="37"/>
      <c r="EC23" s="37"/>
      <c r="ED23" s="142"/>
      <c r="EE23" s="142"/>
      <c r="EF23" s="37"/>
      <c r="EG23" s="37"/>
      <c r="EH23" s="142"/>
      <c r="EI23" s="142"/>
      <c r="EJ23" s="37"/>
      <c r="EK23" s="37"/>
      <c r="EL23" s="142"/>
      <c r="EM23" s="142"/>
      <c r="EN23" s="37"/>
      <c r="EO23" s="37"/>
      <c r="EP23" s="142"/>
      <c r="EQ23" s="142"/>
      <c r="ER23" s="37"/>
      <c r="ES23" s="37"/>
      <c r="ET23" s="142"/>
      <c r="EU23" s="142"/>
      <c r="EV23" s="37"/>
      <c r="EW23" s="37"/>
      <c r="EX23" s="142"/>
      <c r="EY23" s="142"/>
      <c r="EZ23" s="37"/>
      <c r="FA23" s="37"/>
      <c r="FB23" s="142"/>
      <c r="FC23" s="142"/>
      <c r="FD23" s="37"/>
      <c r="FE23" s="37"/>
      <c r="FF23" s="144"/>
      <c r="FG23" s="142"/>
      <c r="FH23" s="37"/>
      <c r="FI23" s="37"/>
      <c r="FJ23" s="142"/>
      <c r="FK23" s="142"/>
      <c r="FL23" s="37"/>
      <c r="FM23" s="37"/>
      <c r="FN23" s="142"/>
      <c r="FO23" s="142"/>
    </row>
    <row r="24" spans="1:171" ht="12.75">
      <c r="A24" s="41" t="s">
        <v>60</v>
      </c>
      <c r="B24" s="36">
        <f>'C6 AVIACION AGRICOLA'!B36/'C6 AVIACION AGRICOLA'!B28</f>
        <v>0.18994562570544185</v>
      </c>
      <c r="C24" s="36">
        <f>'C6 AVIACION AGRICOLA'!C36/'C6 AVIACION AGRICOLA'!C28</f>
        <v>0.3619371266169066</v>
      </c>
      <c r="D24" s="141">
        <f>'C6 AVIACION AGRICOLA'!D36/'C6 AVIACION AGRICOLA'!D28</f>
        <v>0.07465078979641278</v>
      </c>
      <c r="E24" s="141">
        <f>'C6 AVIACION AGRICOLA'!E36/'C6 AVIACION AGRICOLA'!E28</f>
        <v>0.21414150017427547</v>
      </c>
      <c r="F24" s="36">
        <f>'C6 AVIACION AGRICOLA'!F36/'C6 AVIACION AGRICOLA'!F28</f>
        <v>0.05837862582281602</v>
      </c>
      <c r="G24" s="36">
        <f>'C6 AVIACION AGRICOLA'!G36/'C6 AVIACION AGRICOLA'!G28</f>
        <v>0.08244666577489419</v>
      </c>
      <c r="H24" s="141">
        <f>'C6 AVIACION AGRICOLA'!H36/'C6 AVIACION AGRICOLA'!H28</f>
        <v>0.07664394483403292</v>
      </c>
      <c r="I24" s="141">
        <f>'C6 AVIACION AGRICOLA'!I36/'C6 AVIACION AGRICOLA'!I28</f>
        <v>0.11606934019357203</v>
      </c>
      <c r="J24" s="36" t="e">
        <f>'C6 AVIACION AGRICOLA'!J36/'C6 AVIACION AGRICOLA'!J28</f>
        <v>#DIV/0!</v>
      </c>
      <c r="K24" s="36">
        <f>'C6 AVIACION AGRICOLA'!K36/'C6 AVIACION AGRICOLA'!K28</f>
        <v>0.15827391919733072</v>
      </c>
      <c r="L24" s="141">
        <f>'C6 AVIACION AGRICOLA'!L36/'C6 AVIACION AGRICOLA'!L28</f>
        <v>0.19873578230922603</v>
      </c>
      <c r="M24" s="141" t="e">
        <f>'C6 AVIACION AGRICOLA'!M36/'C6 AVIACION AGRICOLA'!M28</f>
        <v>#DIV/0!</v>
      </c>
      <c r="N24" s="36" t="e">
        <f>'C6 AVIACION AGRICOLA'!N36/'C6 AVIACION AGRICOLA'!N28</f>
        <v>#DIV/0!</v>
      </c>
      <c r="O24" s="36">
        <f>'C6 AVIACION AGRICOLA'!O36/'C6 AVIACION AGRICOLA'!O28</f>
        <v>0.06028974354602154</v>
      </c>
      <c r="P24" s="141">
        <f>'C6 AVIACION AGRICOLA'!P36/'C6 AVIACION AGRICOLA'!P28</f>
        <v>0.04953127204067055</v>
      </c>
      <c r="Q24" s="141">
        <f>'C6 AVIACION AGRICOLA'!Q36/'C6 AVIACION AGRICOLA'!Q28</f>
        <v>0.03319400591389766</v>
      </c>
      <c r="R24" s="36">
        <f>'C6 AVIACION AGRICOLA'!R36/'C6 AVIACION AGRICOLA'!R28</f>
        <v>0.025134365737440437</v>
      </c>
      <c r="S24" s="36">
        <f>'C6 AVIACION AGRICOLA'!S36/'C6 AVIACION AGRICOLA'!S28</f>
        <v>0.01575599053395035</v>
      </c>
      <c r="T24" s="141">
        <f>'C6 AVIACION AGRICOLA'!T36/'C6 AVIACION AGRICOLA'!T28</f>
        <v>0.01765084618447471</v>
      </c>
      <c r="U24" s="141">
        <f>'C6 AVIACION AGRICOLA'!U36/'C6 AVIACION AGRICOLA'!U28</f>
        <v>0.005325265569532008</v>
      </c>
      <c r="V24" s="36" t="e">
        <f>'C6 AVIACION AGRICOLA'!V36/'C6 AVIACION AGRICOLA'!V28</f>
        <v>#DIV/0!</v>
      </c>
      <c r="W24" s="36" t="e">
        <f>'C6 AVIACION AGRICOLA'!W36/'C6 AVIACION AGRICOLA'!W28</f>
        <v>#DIV/0!</v>
      </c>
      <c r="X24" s="141">
        <f>'C6 AVIACION AGRICOLA'!X36/'C6 AVIACION AGRICOLA'!X28</f>
        <v>0.05058933806290004</v>
      </c>
      <c r="Y24" s="141">
        <f>'C6 AVIACION AGRICOLA'!Y36/'C6 AVIACION AGRICOLA'!Y28</f>
        <v>0.10223169772981386</v>
      </c>
      <c r="Z24" s="36">
        <f>'C6 AVIACION AGRICOLA'!Z36/'C6 AVIACION AGRICOLA'!Z28</f>
        <v>0.05261712943911814</v>
      </c>
      <c r="AA24" s="36" t="e">
        <f>'C6 AVIACION AGRICOLA'!AA36/'C6 AVIACION AGRICOLA'!AA28</f>
        <v>#DIV/0!</v>
      </c>
      <c r="AB24" s="141">
        <f>'C6 AVIACION AGRICOLA'!AB36/'C6 AVIACION AGRICOLA'!AB28</f>
        <v>0.029465204957102004</v>
      </c>
      <c r="AC24" s="36" t="e">
        <f>'C6 AVIACION AGRICOLA'!AC36/'C6 AVIACION AGRICOLA'!AC28</f>
        <v>#DIV/0!</v>
      </c>
      <c r="AD24" s="36" t="e">
        <f>'C6 AVIACION AGRICOLA'!AD36/'C6 AVIACION AGRICOLA'!AD28</f>
        <v>#DIV/0!</v>
      </c>
      <c r="AE24" s="141" t="e">
        <f>'C6 AVIACION AGRICOLA'!AE36/'C6 AVIACION AGRICOLA'!AE28</f>
        <v>#DIV/0!</v>
      </c>
      <c r="AF24" s="141">
        <f>'C6 AVIACION AGRICOLA'!AF36/'C6 AVIACION AGRICOLA'!AF28</f>
        <v>0.013269088339832888</v>
      </c>
      <c r="AG24" s="36">
        <f>'C6 AVIACION AGRICOLA'!AG36/'C6 AVIACION AGRICOLA'!AG28</f>
        <v>0.04143292205404538</v>
      </c>
      <c r="AH24" s="36">
        <f>'C6 AVIACION AGRICOLA'!AH36/'C6 AVIACION AGRICOLA'!AH28</f>
        <v>0.036403459058267564</v>
      </c>
      <c r="AI24" s="141">
        <f>'C6 AVIACION AGRICOLA'!AI36/'C6 AVIACION AGRICOLA'!AI28</f>
        <v>0.046942044741526946</v>
      </c>
      <c r="AJ24" s="141">
        <f>'C6 AVIACION AGRICOLA'!AJ36/'C6 AVIACION AGRICOLA'!AJ28</f>
        <v>0.1943622154894248</v>
      </c>
      <c r="AK24" s="36" t="e">
        <f>'C6 AVIACION AGRICOLA'!AK36/'C6 AVIACION AGRICOLA'!AK28</f>
        <v>#DIV/0!</v>
      </c>
      <c r="AL24" s="36" t="e">
        <f>'C6 AVIACION AGRICOLA'!AL36/'C6 AVIACION AGRICOLA'!AL28</f>
        <v>#DIV/0!</v>
      </c>
      <c r="AM24" s="141" t="e">
        <f>'C6 AVIACION AGRICOLA'!AM36/'C6 AVIACION AGRICOLA'!AM28</f>
        <v>#DIV/0!</v>
      </c>
      <c r="AN24" s="141" t="e">
        <f>'C6 AVIACION AGRICOLA'!AN36/'C6 AVIACION AGRICOLA'!AN28</f>
        <v>#DIV/0!</v>
      </c>
      <c r="AO24" s="36" t="e">
        <f>'C6 AVIACION AGRICOLA'!AO36/'C6 AVIACION AGRICOLA'!AO28</f>
        <v>#DIV/0!</v>
      </c>
      <c r="AP24" s="36" t="e">
        <f>'C6 AVIACION AGRICOLA'!AP36/'C6 AVIACION AGRICOLA'!AP28</f>
        <v>#DIV/0!</v>
      </c>
      <c r="AQ24" s="141">
        <f>'C6 AVIACION AGRICOLA'!AQ36/'C6 AVIACION AGRICOLA'!AQ28</f>
        <v>0.06444345690562507</v>
      </c>
      <c r="AR24" s="141">
        <f>'C6 AVIACION AGRICOLA'!AR36/'C6 AVIACION AGRICOLA'!AR28</f>
        <v>0.014629668694447453</v>
      </c>
      <c r="AS24" s="36">
        <f>'C6 AVIACION AGRICOLA'!AS36/'C6 AVIACION AGRICOLA'!AS28</f>
        <v>0.22474949673158265</v>
      </c>
      <c r="AT24" s="36">
        <f>'C6 AVIACION AGRICOLA'!AT36/'C6 AVIACION AGRICOLA'!AT28</f>
        <v>0.022323851794095156</v>
      </c>
      <c r="AU24" s="141">
        <f>'C6 AVIACION AGRICOLA'!AU36/'C6 AVIACION AGRICOLA'!AU28</f>
        <v>0.07909953917531691</v>
      </c>
      <c r="AV24" s="141">
        <f>'C6 AVIACION AGRICOLA'!AV36/'C6 AVIACION AGRICOLA'!AV28</f>
        <v>-0.04448537860572087</v>
      </c>
      <c r="AW24" s="36" t="e">
        <f>'C6 AVIACION AGRICOLA'!AW36/'C6 AVIACION AGRICOLA'!AW28</f>
        <v>#DIV/0!</v>
      </c>
      <c r="AX24" s="36">
        <f>'C6 AVIACION AGRICOLA'!AX36/'C6 AVIACION AGRICOLA'!AX28</f>
        <v>0.03806818181818182</v>
      </c>
      <c r="AY24" s="141">
        <f>'C6 AVIACION AGRICOLA'!AY36/'C6 AVIACION AGRICOLA'!AY28</f>
        <v>0.05357142857142857</v>
      </c>
      <c r="AZ24" s="141">
        <f>'C6 AVIACION AGRICOLA'!AZ36/'C6 AVIACION AGRICOLA'!AZ28</f>
        <v>0.028014746520805663</v>
      </c>
      <c r="BA24" s="36">
        <f>'C6 AVIACION AGRICOLA'!BA36/'C6 AVIACION AGRICOLA'!BA28</f>
        <v>-0.125543366270777</v>
      </c>
      <c r="BB24" s="36">
        <f>'C6 AVIACION AGRICOLA'!BB36/'C6 AVIACION AGRICOLA'!BB28</f>
        <v>0.7876773944044981</v>
      </c>
      <c r="BC24" s="141">
        <f>'C6 AVIACION AGRICOLA'!BC36/'C6 AVIACION AGRICOLA'!BC28</f>
        <v>0.004724618568464111</v>
      </c>
      <c r="BD24" s="141">
        <f>'C6 AVIACION AGRICOLA'!BD36/'C6 AVIACION AGRICOLA'!BD28</f>
        <v>-0.1031710383079075</v>
      </c>
      <c r="BE24" s="36" t="e">
        <f>'C6 AVIACION AGRICOLA'!BE36/'C6 AVIACION AGRICOLA'!BE28</f>
        <v>#DIV/0!</v>
      </c>
      <c r="BF24" s="36">
        <f>'C6 AVIACION AGRICOLA'!BF36/'C6 AVIACION AGRICOLA'!BF28</f>
        <v>0.29554455251878115</v>
      </c>
      <c r="BG24" s="141">
        <f>'C6 AVIACION AGRICOLA'!BG36/'C6 AVIACION AGRICOLA'!BG28</f>
        <v>0.02589033720859495</v>
      </c>
      <c r="BH24" s="141">
        <f>'C6 AVIACION AGRICOLA'!BH36/'C6 AVIACION AGRICOLA'!BH28</f>
        <v>0.04391668957932362</v>
      </c>
      <c r="BI24" s="36" t="e">
        <f>'C6 AVIACION AGRICOLA'!BI36/'C6 AVIACION AGRICOLA'!BI28</f>
        <v>#DIV/0!</v>
      </c>
      <c r="BJ24" s="36">
        <f>'C6 AVIACION AGRICOLA'!BJ36/'C6 AVIACION AGRICOLA'!BJ28</f>
        <v>0.33010663470698504</v>
      </c>
      <c r="BK24" s="141">
        <f>'C6 AVIACION AGRICOLA'!BK36/'C6 AVIACION AGRICOLA'!BK28</f>
        <v>0.15103747815957946</v>
      </c>
      <c r="BL24" s="141">
        <f>'C6 AVIACION AGRICOLA'!BL36/'C6 AVIACION AGRICOLA'!BL28</f>
        <v>0.06155422972685079</v>
      </c>
      <c r="BM24" s="36">
        <f>'C6 AVIACION AGRICOLA'!BM36/'C6 AVIACION AGRICOLA'!BM28</f>
        <v>0.9206052151678128</v>
      </c>
      <c r="BN24" s="36">
        <f>'C6 AVIACION AGRICOLA'!BN36/'C6 AVIACION AGRICOLA'!BN28</f>
        <v>0.17948101855577664</v>
      </c>
      <c r="BO24" s="141">
        <f>'C6 AVIACION AGRICOLA'!BO36/'C6 AVIACION AGRICOLA'!BO28</f>
        <v>0.17702455326522082</v>
      </c>
      <c r="BP24" s="141">
        <f>'C6 AVIACION AGRICOLA'!BP36/'C6 AVIACION AGRICOLA'!BP28</f>
        <v>0.09291912551641703</v>
      </c>
      <c r="BQ24" s="36" t="e">
        <f>'C6 AVIACION AGRICOLA'!BQ36/'C6 AVIACION AGRICOLA'!BQ28</f>
        <v>#DIV/0!</v>
      </c>
      <c r="BR24" s="36" t="e">
        <f>'C6 AVIACION AGRICOLA'!BR36/'C6 AVIACION AGRICOLA'!BR28</f>
        <v>#DIV/0!</v>
      </c>
      <c r="BS24" s="141">
        <f>'C6 AVIACION AGRICOLA'!BS36/'C6 AVIACION AGRICOLA'!BS28</f>
        <v>0.10045047385326288</v>
      </c>
      <c r="BT24" s="141">
        <f>'C6 AVIACION AGRICOLA'!BT36/'C6 AVIACION AGRICOLA'!BT28</f>
        <v>0.045169181796746054</v>
      </c>
      <c r="BU24" s="36">
        <f>'C6 AVIACION AGRICOLA'!BU36/'C6 AVIACION AGRICOLA'!BU28</f>
        <v>-1.548112695907101</v>
      </c>
      <c r="BV24" s="36">
        <f>'C6 AVIACION AGRICOLA'!BV36/'C6 AVIACION AGRICOLA'!BV28</f>
        <v>0.12365274757721996</v>
      </c>
      <c r="BW24" s="141">
        <f>'C6 AVIACION AGRICOLA'!BW36/'C6 AVIACION AGRICOLA'!BW28</f>
        <v>0.07878310364369465</v>
      </c>
      <c r="BX24" s="141">
        <f>'C6 AVIACION AGRICOLA'!BX36/'C6 AVIACION AGRICOLA'!BX28</f>
        <v>0.10921586151145504</v>
      </c>
      <c r="BY24" s="36">
        <f>'C6 AVIACION AGRICOLA'!BY36/'C6 AVIACION AGRICOLA'!BY28</f>
        <v>0.056347339345030834</v>
      </c>
      <c r="BZ24" s="36">
        <f>'C6 AVIACION AGRICOLA'!BZ36/'C6 AVIACION AGRICOLA'!BZ28</f>
        <v>0.07680025081684956</v>
      </c>
      <c r="CA24" s="141">
        <f>'C6 AVIACION AGRICOLA'!CA36/'C6 AVIACION AGRICOLA'!CA28</f>
        <v>0.04996911602273988</v>
      </c>
      <c r="CB24" s="141">
        <f>'C6 AVIACION AGRICOLA'!CB36/'C6 AVIACION AGRICOLA'!CB28</f>
        <v>0.0494490840004018</v>
      </c>
      <c r="CC24" s="36" t="e">
        <f>'C6 AVIACION AGRICOLA'!CC36/'C6 AVIACION AGRICOLA'!CC28</f>
        <v>#DIV/0!</v>
      </c>
      <c r="CD24" s="36" t="e">
        <f>'C6 AVIACION AGRICOLA'!CD36/'C6 AVIACION AGRICOLA'!CD28</f>
        <v>#DIV/0!</v>
      </c>
      <c r="CE24" s="141">
        <f>'C6 AVIACION AGRICOLA'!CE36/'C6 AVIACION AGRICOLA'!CE28</f>
        <v>0.051071683573805385</v>
      </c>
      <c r="CF24" s="141" t="e">
        <f>'C6 AVIACION AGRICOLA'!CF36/'C6 AVIACION AGRICOLA'!CF28</f>
        <v>#DIV/0!</v>
      </c>
      <c r="CG24" s="36">
        <f>'C6 AVIACION AGRICOLA'!CG36/'C6 AVIACION AGRICOLA'!CG28</f>
        <v>0.005564568411788606</v>
      </c>
      <c r="CH24" s="36">
        <f>'C6 AVIACION AGRICOLA'!CH36/'C6 AVIACION AGRICOLA'!CH28</f>
        <v>0.04782411592785877</v>
      </c>
      <c r="CI24" s="141">
        <f>'C6 AVIACION AGRICOLA'!CI36/'C6 AVIACION AGRICOLA'!CI28</f>
        <v>0.07869206904534809</v>
      </c>
      <c r="CJ24" s="141">
        <f>'C6 AVIACION AGRICOLA'!CJ36/'C6 AVIACION AGRICOLA'!CJ28</f>
        <v>0.1019652118239831</v>
      </c>
      <c r="CK24" s="36" t="e">
        <f>'C6 AVIACION AGRICOLA'!CK36/'C6 AVIACION AGRICOLA'!CK28</f>
        <v>#DIV/0!</v>
      </c>
      <c r="CL24" s="36">
        <f>'C6 AVIACION AGRICOLA'!CL36/'C6 AVIACION AGRICOLA'!CL28</f>
        <v>0.007768570383185835</v>
      </c>
      <c r="CM24" s="141">
        <f>'C6 AVIACION AGRICOLA'!CM36/'C6 AVIACION AGRICOLA'!CM28</f>
        <v>0.0836103530482615</v>
      </c>
      <c r="CN24" s="141">
        <f>'C6 AVIACION AGRICOLA'!CN36/'C6 AVIACION AGRICOLA'!CN28</f>
        <v>0.05390361047647806</v>
      </c>
      <c r="CO24" s="36" t="e">
        <f>'C6 AVIACION AGRICOLA'!CO36/'C6 AVIACION AGRICOLA'!CO28</f>
        <v>#DIV/0!</v>
      </c>
      <c r="CP24" s="36" t="e">
        <f>'C6 AVIACION AGRICOLA'!CP36/'C6 AVIACION AGRICOLA'!CP28</f>
        <v>#DIV/0!</v>
      </c>
      <c r="CQ24" s="141" t="e">
        <f>'C6 AVIACION AGRICOLA'!CQ36/'C6 AVIACION AGRICOLA'!CQ28</f>
        <v>#DIV/0!</v>
      </c>
      <c r="CR24" s="36" t="e">
        <f>'C6 AVIACION AGRICOLA'!CR36/'C6 AVIACION AGRICOLA'!CR28</f>
        <v>#DIV/0!</v>
      </c>
      <c r="CS24" s="36" t="e">
        <f>'C6 AVIACION AGRICOLA'!CS36/'C6 AVIACION AGRICOLA'!CS28</f>
        <v>#DIV/0!</v>
      </c>
      <c r="CT24" s="141" t="e">
        <f>'C6 AVIACION AGRICOLA'!CT36/'C6 AVIACION AGRICOLA'!CT28</f>
        <v>#DIV/0!</v>
      </c>
      <c r="CU24" s="141">
        <f>'C6 AVIACION AGRICOLA'!CU36/'C6 AVIACION AGRICOLA'!CU28</f>
        <v>0.011513414245732446</v>
      </c>
      <c r="CV24" s="36">
        <f>'C6 AVIACION AGRICOLA'!CV36/'C6 AVIACION AGRICOLA'!CV28</f>
        <v>0.08069142979200811</v>
      </c>
      <c r="CW24" s="36">
        <f>'C6 AVIACION AGRICOLA'!CW36/'C6 AVIACION AGRICOLA'!CW28</f>
        <v>0.10807934857539617</v>
      </c>
      <c r="CX24" s="141">
        <f>'C6 AVIACION AGRICOLA'!CX36/'C6 AVIACION AGRICOLA'!CX28</f>
        <v>0.10387125683914754</v>
      </c>
      <c r="CY24" s="141">
        <f>'C6 AVIACION AGRICOLA'!CY36/'C6 AVIACION AGRICOLA'!CY28</f>
        <v>0.08767878694712192</v>
      </c>
      <c r="CZ24" s="36" t="e">
        <f>'C6 AVIACION AGRICOLA'!CZ36/'C6 AVIACION AGRICOLA'!CZ28</f>
        <v>#DIV/0!</v>
      </c>
      <c r="DA24" s="36">
        <f>'C6 AVIACION AGRICOLA'!DA36/'C6 AVIACION AGRICOLA'!DA28</f>
        <v>0.11741904804519465</v>
      </c>
      <c r="DB24" s="141">
        <f>'C6 AVIACION AGRICOLA'!DB36/'C6 AVIACION AGRICOLA'!DB28</f>
        <v>0.11489821165189067</v>
      </c>
      <c r="DC24" s="141">
        <f>'C6 AVIACION AGRICOLA'!DC36/'C6 AVIACION AGRICOLA'!DC28</f>
        <v>0.11310854498288314</v>
      </c>
      <c r="DD24" s="36">
        <f>'C6 AVIACION AGRICOLA'!DD36/'C6 AVIACION AGRICOLA'!DD28</f>
        <v>0.26752660046444</v>
      </c>
      <c r="DE24" s="36">
        <f>'C6 AVIACION AGRICOLA'!DE36/'C6 AVIACION AGRICOLA'!DE28</f>
        <v>0.10834187503608883</v>
      </c>
      <c r="DF24" s="141">
        <f>'C6 AVIACION AGRICOLA'!DF36/'C6 AVIACION AGRICOLA'!DF28</f>
        <v>0.06611789556177165</v>
      </c>
      <c r="DG24" s="141">
        <f>'C6 AVIACION AGRICOLA'!DG36/'C6 AVIACION AGRICOLA'!DG28</f>
        <v>0.03020648325281139</v>
      </c>
      <c r="DH24" s="36" t="e">
        <f>'C6 AVIACION AGRICOLA'!DH36/'C6 AVIACION AGRICOLA'!DH28</f>
        <v>#DIV/0!</v>
      </c>
      <c r="DI24" s="36" t="e">
        <f>'C6 AVIACION AGRICOLA'!DI36/'C6 AVIACION AGRICOLA'!DI28</f>
        <v>#DIV/0!</v>
      </c>
      <c r="DJ24" s="141" t="e">
        <f>'C6 AVIACION AGRICOLA'!DJ36/'C6 AVIACION AGRICOLA'!DJ28</f>
        <v>#DIV/0!</v>
      </c>
      <c r="DK24" s="141" t="e">
        <f>'C6 AVIACION AGRICOLA'!DK36/'C6 AVIACION AGRICOLA'!DK28</f>
        <v>#DIV/0!</v>
      </c>
      <c r="DL24" s="36">
        <f>'C6 AVIACION AGRICOLA'!DL36/'C6 AVIACION AGRICOLA'!DL28</f>
        <v>0.08393648557316799</v>
      </c>
      <c r="DM24" s="36" t="e">
        <f>'C6 AVIACION AGRICOLA'!DM36/'C6 AVIACION AGRICOLA'!DM28</f>
        <v>#DIV/0!</v>
      </c>
      <c r="DN24" s="141" t="e">
        <f>'C6 AVIACION AGRICOLA'!DN36/'C6 AVIACION AGRICOLA'!DN28</f>
        <v>#DIV/0!</v>
      </c>
      <c r="DO24" s="141" t="e">
        <f>'C6 AVIACION AGRICOLA'!DO36/'C6 AVIACION AGRICOLA'!DO28</f>
        <v>#DIV/0!</v>
      </c>
      <c r="DP24" s="36" t="e">
        <f>'C6 AVIACION AGRICOLA'!DP36/'C6 AVIACION AGRICOLA'!DP28</f>
        <v>#DIV/0!</v>
      </c>
      <c r="DQ24" s="36">
        <f>'C6 AVIACION AGRICOLA'!DQ36/'C6 AVIACION AGRICOLA'!DQ28</f>
        <v>0.10853743020973033</v>
      </c>
      <c r="DR24" s="141">
        <f>'C6 AVIACION AGRICOLA'!DR36/'C6 AVIACION AGRICOLA'!DR28</f>
        <v>0.04463571552773431</v>
      </c>
      <c r="DS24" s="141">
        <f>'C6 AVIACION AGRICOLA'!DS36/'C6 AVIACION AGRICOLA'!DS28</f>
        <v>0.03858267716535433</v>
      </c>
      <c r="DT24" s="36" t="e">
        <f>'C6 AVIACION AGRICOLA'!DT36/'C6 AVIACION AGRICOLA'!DT28</f>
        <v>#DIV/0!</v>
      </c>
      <c r="DU24" s="36">
        <f>'C6 AVIACION AGRICOLA'!DU36/'C6 AVIACION AGRICOLA'!DU28</f>
        <v>0.007247733317321447</v>
      </c>
      <c r="DV24" s="141">
        <f>'C6 AVIACION AGRICOLA'!DV36/'C6 AVIACION AGRICOLA'!DV28</f>
        <v>0.16370580854458744</v>
      </c>
      <c r="DW24" s="141" t="e">
        <f>'C6 AVIACION AGRICOLA'!DW36/'C6 AVIACION AGRICOLA'!DW28</f>
        <v>#DIV/0!</v>
      </c>
      <c r="DX24" s="36" t="e">
        <f>'C6 AVIACION AGRICOLA'!DX36/'C6 AVIACION AGRICOLA'!DX28</f>
        <v>#DIV/0!</v>
      </c>
      <c r="DY24" s="36">
        <f>'C6 AVIACION AGRICOLA'!DY36/'C6 AVIACION AGRICOLA'!DY28</f>
        <v>0.14232283981860505</v>
      </c>
      <c r="DZ24" s="141">
        <f>'C6 AVIACION AGRICOLA'!DZ36/'C6 AVIACION AGRICOLA'!DZ28</f>
        <v>0.09115559347843814</v>
      </c>
      <c r="EA24" s="141">
        <f>'C6 AVIACION AGRICOLA'!EA36/'C6 AVIACION AGRICOLA'!EA28</f>
        <v>-0.007511679142932962</v>
      </c>
      <c r="EB24" s="36" t="e">
        <f>'C6 AVIACION AGRICOLA'!EB36/'C6 AVIACION AGRICOLA'!EB28</f>
        <v>#DIV/0!</v>
      </c>
      <c r="EC24" s="36">
        <f>'C6 AVIACION AGRICOLA'!EC36/'C6 AVIACION AGRICOLA'!EC28</f>
        <v>0.041975310316872017</v>
      </c>
      <c r="ED24" s="141">
        <f>'C6 AVIACION AGRICOLA'!ED36/'C6 AVIACION AGRICOLA'!ED28</f>
        <v>0.04559970092952283</v>
      </c>
      <c r="EE24" s="141">
        <f>'C6 AVIACION AGRICOLA'!EE36/'C6 AVIACION AGRICOLA'!EE28</f>
        <v>0.08393355960160742</v>
      </c>
      <c r="EF24" s="36">
        <f>'C6 AVIACION AGRICOLA'!EF36/'C6 AVIACION AGRICOLA'!EF28</f>
        <v>0.033584030038726405</v>
      </c>
      <c r="EG24" s="36">
        <f>'C6 AVIACION AGRICOLA'!EG36/'C6 AVIACION AGRICOLA'!EG28</f>
        <v>0.03692498632330561</v>
      </c>
      <c r="EH24" s="141">
        <f>'C6 AVIACION AGRICOLA'!EH36/'C6 AVIACION AGRICOLA'!EH28</f>
        <v>0.08340813047121447</v>
      </c>
      <c r="EI24" s="141">
        <f>'C6 AVIACION AGRICOLA'!EI36/'C6 AVIACION AGRICOLA'!EI28</f>
        <v>0.1028840171648663</v>
      </c>
      <c r="EJ24" s="36">
        <f>'C6 AVIACION AGRICOLA'!EJ36/'C6 AVIACION AGRICOLA'!EJ28</f>
        <v>0.07436961594996924</v>
      </c>
      <c r="EK24" s="36">
        <f>'C6 AVIACION AGRICOLA'!EK36/'C6 AVIACION AGRICOLA'!EK28</f>
        <v>0.035827891463249946</v>
      </c>
      <c r="EL24" s="141">
        <f>'C6 AVIACION AGRICOLA'!EL36/'C6 AVIACION AGRICOLA'!EL28</f>
        <v>0.06320854362741461</v>
      </c>
      <c r="EM24" s="141">
        <f>'C6 AVIACION AGRICOLA'!EM36/'C6 AVIACION AGRICOLA'!EM28</f>
        <v>0.05343214089327653</v>
      </c>
      <c r="EN24" s="36">
        <f>'C6 AVIACION AGRICOLA'!EN36/'C6 AVIACION AGRICOLA'!EN28</f>
        <v>-1.5732261586078884</v>
      </c>
      <c r="EO24" s="36" t="e">
        <f>'C6 AVIACION AGRICOLA'!EO36/'C6 AVIACION AGRICOLA'!EO28</f>
        <v>#DIV/0!</v>
      </c>
      <c r="EP24" s="141" t="e">
        <f>'C6 AVIACION AGRICOLA'!EP36/'C6 AVIACION AGRICOLA'!EP28</f>
        <v>#DIV/0!</v>
      </c>
      <c r="EQ24" s="141" t="e">
        <f>'C6 AVIACION AGRICOLA'!EQ36/'C6 AVIACION AGRICOLA'!EQ28</f>
        <v>#DIV/0!</v>
      </c>
      <c r="ER24" s="36" t="e">
        <f>'C6 AVIACION AGRICOLA'!ER36/'C6 AVIACION AGRICOLA'!ER28</f>
        <v>#DIV/0!</v>
      </c>
      <c r="ES24" s="36" t="e">
        <f>'C6 AVIACION AGRICOLA'!ES36/'C6 AVIACION AGRICOLA'!ES28</f>
        <v>#DIV/0!</v>
      </c>
      <c r="ET24" s="141">
        <f>'C6 AVIACION AGRICOLA'!ET36/'C6 AVIACION AGRICOLA'!ET28</f>
        <v>0.03595364687712018</v>
      </c>
      <c r="EU24" s="141">
        <f>'C6 AVIACION AGRICOLA'!EU36/'C6 AVIACION AGRICOLA'!EU28</f>
        <v>0.04149492194692427</v>
      </c>
      <c r="EV24" s="36">
        <f>'C6 AVIACION AGRICOLA'!EV36/'C6 AVIACION AGRICOLA'!EV28</f>
        <v>0.10879134648625043</v>
      </c>
      <c r="EW24" s="36">
        <f>'C6 AVIACION AGRICOLA'!EW36/'C6 AVIACION AGRICOLA'!EW28</f>
        <v>0.06360810598143303</v>
      </c>
      <c r="EX24" s="141">
        <f>'C6 AVIACION AGRICOLA'!EX36/'C6 AVIACION AGRICOLA'!EX28</f>
        <v>0.05901206626911976</v>
      </c>
      <c r="EY24" s="141">
        <f>'C6 AVIACION AGRICOLA'!EY36/'C6 AVIACION AGRICOLA'!EY28</f>
        <v>0.06958663293643638</v>
      </c>
      <c r="EZ24" s="36" t="e">
        <f>'C6 AVIACION AGRICOLA'!EZ36/'C6 AVIACION AGRICOLA'!EZ28</f>
        <v>#DIV/0!</v>
      </c>
      <c r="FA24" s="36">
        <f>'C6 AVIACION AGRICOLA'!FA36/'C6 AVIACION AGRICOLA'!FA28</f>
        <v>0.04127384159938857</v>
      </c>
      <c r="FB24" s="141">
        <f>'C6 AVIACION AGRICOLA'!FB36/'C6 AVIACION AGRICOLA'!FB28</f>
        <v>-0.021574595688368392</v>
      </c>
      <c r="FC24" s="141" t="e">
        <f>'C6 AVIACION AGRICOLA'!FC36/'C6 AVIACION AGRICOLA'!FC28</f>
        <v>#DIV/0!</v>
      </c>
      <c r="FD24" s="36">
        <f>'C6 AVIACION AGRICOLA'!FD36/'C6 AVIACION AGRICOLA'!FD28</f>
        <v>-2.9658737559645534</v>
      </c>
      <c r="FE24" s="36" t="e">
        <f>'C6 AVIACION AGRICOLA'!FE36/'C6 AVIACION AGRICOLA'!FE28</f>
        <v>#DIV/0!</v>
      </c>
      <c r="FF24" s="143" t="e">
        <f>'C6 AVIACION AGRICOLA'!FF36/'C6 AVIACION AGRICOLA'!FF28</f>
        <v>#DIV/0!</v>
      </c>
      <c r="FG24" s="141" t="e">
        <f>'C6 AVIACION AGRICOLA'!FG36/'C6 AVIACION AGRICOLA'!FG28</f>
        <v>#DIV/0!</v>
      </c>
      <c r="FH24" s="36">
        <f>'C6 AVIACION AGRICOLA'!FH36/'C6 AVIACION AGRICOLA'!FH28</f>
        <v>0.35900228136906126</v>
      </c>
      <c r="FI24" s="36" t="e">
        <f>'C6 AVIACION AGRICOLA'!FI36/'C6 AVIACION AGRICOLA'!FI28</f>
        <v>#DIV/0!</v>
      </c>
      <c r="FJ24" s="141" t="e">
        <f>'C6 AVIACION AGRICOLA'!FJ36/'C6 AVIACION AGRICOLA'!FJ28</f>
        <v>#DIV/0!</v>
      </c>
      <c r="FK24" s="141">
        <f>'C6 AVIACION AGRICOLA'!FK36/'C6 AVIACION AGRICOLA'!FK28</f>
        <v>0.1675585689644623</v>
      </c>
      <c r="FL24" s="36" t="e">
        <f>'C6 AVIACION AGRICOLA'!FL36/'C6 AVIACION AGRICOLA'!FL28</f>
        <v>#DIV/0!</v>
      </c>
      <c r="FM24" s="36" t="e">
        <f>'C6 AVIACION AGRICOLA'!FM36/'C6 AVIACION AGRICOLA'!FM28</f>
        <v>#DIV/0!</v>
      </c>
      <c r="FN24" s="141" t="e">
        <f>'C6 AVIACION AGRICOLA'!FN36/'C6 AVIACION AGRICOLA'!FN28</f>
        <v>#DIV/0!</v>
      </c>
      <c r="FO24" s="141">
        <f>'C6 AVIACION AGRICOLA'!FO36/'C6 AVIACION AGRICOLA'!FO28</f>
        <v>0.2123912726794265</v>
      </c>
    </row>
    <row r="25" spans="1:171" ht="12.75">
      <c r="A25" s="41" t="s">
        <v>53</v>
      </c>
      <c r="B25" s="36">
        <f>'C6 AVIACION AGRICOLA'!B37/'C6 AVIACION AGRICOLA'!B30</f>
        <v>0.1681287349876433</v>
      </c>
      <c r="C25" s="36">
        <f>'C6 AVIACION AGRICOLA'!C37/'C6 AVIACION AGRICOLA'!C30</f>
        <v>0.32343409515274124</v>
      </c>
      <c r="D25" s="141">
        <f>'C6 AVIACION AGRICOLA'!D37/'C6 AVIACION AGRICOLA'!D30</f>
        <v>0.014577698849530012</v>
      </c>
      <c r="E25" s="141">
        <f>'C6 AVIACION AGRICOLA'!E37/'C6 AVIACION AGRICOLA'!E30</f>
        <v>0.17110606274460244</v>
      </c>
      <c r="F25" s="36">
        <f>'C6 AVIACION AGRICOLA'!F37/'C6 AVIACION AGRICOLA'!F30</f>
        <v>-0.0764802220639698</v>
      </c>
      <c r="G25" s="36">
        <f>'C6 AVIACION AGRICOLA'!G37/'C6 AVIACION AGRICOLA'!G30</f>
        <v>0.04012119500175175</v>
      </c>
      <c r="H25" s="141">
        <f>'C6 AVIACION AGRICOLA'!H37/'C6 AVIACION AGRICOLA'!H30</f>
        <v>0.026585973311927504</v>
      </c>
      <c r="I25" s="141">
        <f>'C6 AVIACION AGRICOLA'!I37/'C6 AVIACION AGRICOLA'!I30</f>
        <v>0.04563754038682647</v>
      </c>
      <c r="J25" s="36" t="e">
        <f>'C6 AVIACION AGRICOLA'!J37/'C6 AVIACION AGRICOLA'!J30</f>
        <v>#DIV/0!</v>
      </c>
      <c r="K25" s="36">
        <f>'C6 AVIACION AGRICOLA'!K37/'C6 AVIACION AGRICOLA'!K30</f>
        <v>0.04625898474769234</v>
      </c>
      <c r="L25" s="141">
        <f>'C6 AVIACION AGRICOLA'!L37/'C6 AVIACION AGRICOLA'!L30</f>
        <v>0.060908939997708376</v>
      </c>
      <c r="M25" s="141" t="e">
        <f>'C6 AVIACION AGRICOLA'!M37/'C6 AVIACION AGRICOLA'!M30</f>
        <v>#DIV/0!</v>
      </c>
      <c r="N25" s="36" t="e">
        <f>'C6 AVIACION AGRICOLA'!N37/'C6 AVIACION AGRICOLA'!N30</f>
        <v>#DIV/0!</v>
      </c>
      <c r="O25" s="36">
        <f>'C6 AVIACION AGRICOLA'!O37/'C6 AVIACION AGRICOLA'!O30</f>
        <v>-0.36135903955064813</v>
      </c>
      <c r="P25" s="141">
        <f>'C6 AVIACION AGRICOLA'!P37/'C6 AVIACION AGRICOLA'!P30</f>
        <v>0.017870722097921912</v>
      </c>
      <c r="Q25" s="141">
        <f>'C6 AVIACION AGRICOLA'!Q37/'C6 AVIACION AGRICOLA'!Q30</f>
        <v>-0.048305517967222975</v>
      </c>
      <c r="R25" s="36">
        <f>'C6 AVIACION AGRICOLA'!R37/'C6 AVIACION AGRICOLA'!R30</f>
        <v>0.01684027126402281</v>
      </c>
      <c r="S25" s="36">
        <f>'C6 AVIACION AGRICOLA'!S37/'C6 AVIACION AGRICOLA'!S30</f>
        <v>0.011154160015890072</v>
      </c>
      <c r="T25" s="141">
        <f>'C6 AVIACION AGRICOLA'!T37/'C6 AVIACION AGRICOLA'!T30</f>
        <v>0.013623345133191961</v>
      </c>
      <c r="U25" s="141">
        <f>'C6 AVIACION AGRICOLA'!U37/'C6 AVIACION AGRICOLA'!U30</f>
        <v>-0.00139798485269257</v>
      </c>
      <c r="V25" s="36" t="e">
        <f>'C6 AVIACION AGRICOLA'!V37/'C6 AVIACION AGRICOLA'!V30</f>
        <v>#DIV/0!</v>
      </c>
      <c r="W25" s="36" t="e">
        <f>'C6 AVIACION AGRICOLA'!W37/'C6 AVIACION AGRICOLA'!W30</f>
        <v>#DIV/0!</v>
      </c>
      <c r="X25" s="141">
        <f>'C6 AVIACION AGRICOLA'!X37/'C6 AVIACION AGRICOLA'!X30</f>
        <v>0.0513852789237508</v>
      </c>
      <c r="Y25" s="141">
        <f>'C6 AVIACION AGRICOLA'!Y37/'C6 AVIACION AGRICOLA'!Y30</f>
        <v>0.0585788615412929</v>
      </c>
      <c r="Z25" s="36">
        <f>'C6 AVIACION AGRICOLA'!Z37/'C6 AVIACION AGRICOLA'!Z30</f>
        <v>0</v>
      </c>
      <c r="AA25" s="36" t="e">
        <f>'C6 AVIACION AGRICOLA'!AA37/'C6 AVIACION AGRICOLA'!AA30</f>
        <v>#DIV/0!</v>
      </c>
      <c r="AB25" s="141">
        <f>'C6 AVIACION AGRICOLA'!AB37/'C6 AVIACION AGRICOLA'!AB30</f>
        <v>0.029465204957102004</v>
      </c>
      <c r="AC25" s="36" t="e">
        <f>'C6 AVIACION AGRICOLA'!AC37/'C6 AVIACION AGRICOLA'!AC30</f>
        <v>#DIV/0!</v>
      </c>
      <c r="AD25" s="36" t="e">
        <f>'C6 AVIACION AGRICOLA'!AD37/'C6 AVIACION AGRICOLA'!AD30</f>
        <v>#DIV/0!</v>
      </c>
      <c r="AE25" s="141" t="e">
        <f>'C6 AVIACION AGRICOLA'!AE37/'C6 AVIACION AGRICOLA'!AE30</f>
        <v>#DIV/0!</v>
      </c>
      <c r="AF25" s="141">
        <f>'C6 AVIACION AGRICOLA'!AF37/'C6 AVIACION AGRICOLA'!AF30</f>
        <v>0.008493133096707033</v>
      </c>
      <c r="AG25" s="36">
        <f>'C6 AVIACION AGRICOLA'!AG37/'C6 AVIACION AGRICOLA'!AG30</f>
        <v>0.024817752921225535</v>
      </c>
      <c r="AH25" s="36">
        <f>'C6 AVIACION AGRICOLA'!AH37/'C6 AVIACION AGRICOLA'!AH30</f>
        <v>0.01603769510939744</v>
      </c>
      <c r="AI25" s="141">
        <f>'C6 AVIACION AGRICOLA'!AI37/'C6 AVIACION AGRICOLA'!AI30</f>
        <v>0.01991392041332798</v>
      </c>
      <c r="AJ25" s="141">
        <f>'C6 AVIACION AGRICOLA'!AJ37/'C6 AVIACION AGRICOLA'!AJ30</f>
        <v>0.000365725020981067</v>
      </c>
      <c r="AK25" s="36" t="e">
        <f>'C6 AVIACION AGRICOLA'!AK37/'C6 AVIACION AGRICOLA'!AK30</f>
        <v>#DIV/0!</v>
      </c>
      <c r="AL25" s="36" t="e">
        <f>'C6 AVIACION AGRICOLA'!AL37/'C6 AVIACION AGRICOLA'!AL30</f>
        <v>#DIV/0!</v>
      </c>
      <c r="AM25" s="141" t="e">
        <f>'C6 AVIACION AGRICOLA'!AM37/'C6 AVIACION AGRICOLA'!AM30</f>
        <v>#DIV/0!</v>
      </c>
      <c r="AN25" s="141" t="e">
        <f>'C6 AVIACION AGRICOLA'!AN37/'C6 AVIACION AGRICOLA'!AN30</f>
        <v>#DIV/0!</v>
      </c>
      <c r="AO25" s="36" t="e">
        <f>'C6 AVIACION AGRICOLA'!AO37/'C6 AVIACION AGRICOLA'!AO30</f>
        <v>#DIV/0!</v>
      </c>
      <c r="AP25" s="36" t="e">
        <f>'C6 AVIACION AGRICOLA'!AP37/'C6 AVIACION AGRICOLA'!AP30</f>
        <v>#DIV/0!</v>
      </c>
      <c r="AQ25" s="141">
        <f>'C6 AVIACION AGRICOLA'!AQ37/'C6 AVIACION AGRICOLA'!AQ30</f>
        <v>0.0014735118699567302</v>
      </c>
      <c r="AR25" s="141">
        <f>'C6 AVIACION AGRICOLA'!AR37/'C6 AVIACION AGRICOLA'!AR30</f>
        <v>0.0026407551684393283</v>
      </c>
      <c r="AS25" s="36">
        <f>'C6 AVIACION AGRICOLA'!AS37/'C6 AVIACION AGRICOLA'!AS30</f>
        <v>0.15287442504921886</v>
      </c>
      <c r="AT25" s="36">
        <f>'C6 AVIACION AGRICOLA'!AT37/'C6 AVIACION AGRICOLA'!AT30</f>
        <v>0.046967893689876285</v>
      </c>
      <c r="AU25" s="141">
        <f>'C6 AVIACION AGRICOLA'!AU37/'C6 AVIACION AGRICOLA'!AU30</f>
        <v>0.05564121472145874</v>
      </c>
      <c r="AV25" s="141">
        <f>'C6 AVIACION AGRICOLA'!AV37/'C6 AVIACION AGRICOLA'!AV30</f>
        <v>-0.043276910430511746</v>
      </c>
      <c r="AW25" s="36" t="e">
        <f>'C6 AVIACION AGRICOLA'!AW37/'C6 AVIACION AGRICOLA'!AW30</f>
        <v>#DIV/0!</v>
      </c>
      <c r="AX25" s="36">
        <f>'C6 AVIACION AGRICOLA'!AX37/'C6 AVIACION AGRICOLA'!AX30</f>
        <v>0.03806818181818182</v>
      </c>
      <c r="AY25" s="141">
        <f>'C6 AVIACION AGRICOLA'!AY37/'C6 AVIACION AGRICOLA'!AY30</f>
        <v>0.05357142857142857</v>
      </c>
      <c r="AZ25" s="141">
        <f>'C6 AVIACION AGRICOLA'!AZ37/'C6 AVIACION AGRICOLA'!AZ30</f>
        <v>0.028014746520805663</v>
      </c>
      <c r="BA25" s="36">
        <f>'C6 AVIACION AGRICOLA'!BA37/'C6 AVIACION AGRICOLA'!BA30</f>
        <v>5.764047948644579E-06</v>
      </c>
      <c r="BB25" s="36">
        <f>'C6 AVIACION AGRICOLA'!BB37/'C6 AVIACION AGRICOLA'!BB30</f>
        <v>0.735879736060932</v>
      </c>
      <c r="BC25" s="141">
        <f>'C6 AVIACION AGRICOLA'!BC37/'C6 AVIACION AGRICOLA'!BC30</f>
        <v>-0.04393589167720216</v>
      </c>
      <c r="BD25" s="141">
        <f>'C6 AVIACION AGRICOLA'!BD37/'C6 AVIACION AGRICOLA'!BD30</f>
        <v>0.0021735751142958693</v>
      </c>
      <c r="BE25" s="36" t="e">
        <f>'C6 AVIACION AGRICOLA'!BE37/'C6 AVIACION AGRICOLA'!BE30</f>
        <v>#DIV/0!</v>
      </c>
      <c r="BF25" s="36">
        <f>'C6 AVIACION AGRICOLA'!BF37/'C6 AVIACION AGRICOLA'!BF30</f>
        <v>0.017604279274286407</v>
      </c>
      <c r="BG25" s="141">
        <f>'C6 AVIACION AGRICOLA'!BG37/'C6 AVIACION AGRICOLA'!BG30</f>
        <v>0.013575389108158344</v>
      </c>
      <c r="BH25" s="141">
        <f>'C6 AVIACION AGRICOLA'!BH37/'C6 AVIACION AGRICOLA'!BH30</f>
        <v>0.04391668957932362</v>
      </c>
      <c r="BI25" s="36" t="e">
        <f>'C6 AVIACION AGRICOLA'!BI37/'C6 AVIACION AGRICOLA'!BI30</f>
        <v>#DIV/0!</v>
      </c>
      <c r="BJ25" s="36">
        <f>'C6 AVIACION AGRICOLA'!BJ37/'C6 AVIACION AGRICOLA'!BJ30</f>
        <v>0.1432346885467564</v>
      </c>
      <c r="BK25" s="141">
        <f>'C6 AVIACION AGRICOLA'!BK37/'C6 AVIACION AGRICOLA'!BK30</f>
        <v>0.15103747815957946</v>
      </c>
      <c r="BL25" s="141">
        <f>'C6 AVIACION AGRICOLA'!BL37/'C6 AVIACION AGRICOLA'!BL30</f>
        <v>0.05847201362619332</v>
      </c>
      <c r="BM25" s="36">
        <f>'C6 AVIACION AGRICOLA'!BM37/'C6 AVIACION AGRICOLA'!BM30</f>
        <v>0.709345975839301</v>
      </c>
      <c r="BN25" s="36">
        <f>'C6 AVIACION AGRICOLA'!BN37/'C6 AVIACION AGRICOLA'!BN30</f>
        <v>0.1521445249501839</v>
      </c>
      <c r="BO25" s="141">
        <f>'C6 AVIACION AGRICOLA'!BO37/'C6 AVIACION AGRICOLA'!BO30</f>
        <v>0.03462965535981098</v>
      </c>
      <c r="BP25" s="141">
        <f>'C6 AVIACION AGRICOLA'!BP37/'C6 AVIACION AGRICOLA'!BP30</f>
        <v>0.03775280877231631</v>
      </c>
      <c r="BQ25" s="36" t="e">
        <f>'C6 AVIACION AGRICOLA'!BQ37/'C6 AVIACION AGRICOLA'!BQ30</f>
        <v>#DIV/0!</v>
      </c>
      <c r="BR25" s="36" t="e">
        <f>'C6 AVIACION AGRICOLA'!BR37/'C6 AVIACION AGRICOLA'!BR30</f>
        <v>#DIV/0!</v>
      </c>
      <c r="BS25" s="141">
        <f>'C6 AVIACION AGRICOLA'!BS37/'C6 AVIACION AGRICOLA'!BS30</f>
        <v>0.055108713921188136</v>
      </c>
      <c r="BT25" s="141">
        <f>'C6 AVIACION AGRICOLA'!BT37/'C6 AVIACION AGRICOLA'!BT30</f>
        <v>0.03319022214833034</v>
      </c>
      <c r="BU25" s="36">
        <f>'C6 AVIACION AGRICOLA'!BU37/'C6 AVIACION AGRICOLA'!BU30</f>
        <v>0.14463634410828755</v>
      </c>
      <c r="BV25" s="36">
        <f>'C6 AVIACION AGRICOLA'!BV37/'C6 AVIACION AGRICOLA'!BV30</f>
        <v>0.07890235620998955</v>
      </c>
      <c r="BW25" s="141">
        <f>'C6 AVIACION AGRICOLA'!BW37/'C6 AVIACION AGRICOLA'!BW30</f>
        <v>0.05083063962624189</v>
      </c>
      <c r="BX25" s="141">
        <f>'C6 AVIACION AGRICOLA'!BX37/'C6 AVIACION AGRICOLA'!BX30</f>
        <v>0.07139215882841012</v>
      </c>
      <c r="BY25" s="36">
        <f>'C6 AVIACION AGRICOLA'!BY37/'C6 AVIACION AGRICOLA'!BY30</f>
        <v>0.0042224778855458655</v>
      </c>
      <c r="BZ25" s="36">
        <f>'C6 AVIACION AGRICOLA'!BZ37/'C6 AVIACION AGRICOLA'!BZ30</f>
        <v>0.016574934058432557</v>
      </c>
      <c r="CA25" s="141">
        <f>'C6 AVIACION AGRICOLA'!CA37/'C6 AVIACION AGRICOLA'!CA30</f>
        <v>0.02114913196075813</v>
      </c>
      <c r="CB25" s="141">
        <f>'C6 AVIACION AGRICOLA'!CB37/'C6 AVIACION AGRICOLA'!CB30</f>
        <v>0.022704023084614756</v>
      </c>
      <c r="CC25" s="36" t="e">
        <f>'C6 AVIACION AGRICOLA'!CC37/'C6 AVIACION AGRICOLA'!CC30</f>
        <v>#DIV/0!</v>
      </c>
      <c r="CD25" s="36" t="e">
        <f>'C6 AVIACION AGRICOLA'!CD37/'C6 AVIACION AGRICOLA'!CD30</f>
        <v>#DIV/0!</v>
      </c>
      <c r="CE25" s="141">
        <f>'C6 AVIACION AGRICOLA'!CE37/'C6 AVIACION AGRICOLA'!CE30</f>
        <v>0.01590097617005363</v>
      </c>
      <c r="CF25" s="141" t="e">
        <f>'C6 AVIACION AGRICOLA'!CF37/'C6 AVIACION AGRICOLA'!CF30</f>
        <v>#DIV/0!</v>
      </c>
      <c r="CG25" s="36">
        <f>'C6 AVIACION AGRICOLA'!CG37/'C6 AVIACION AGRICOLA'!CG30</f>
        <v>-3.051818314483747E-08</v>
      </c>
      <c r="CH25" s="36">
        <f>'C6 AVIACION AGRICOLA'!CH37/'C6 AVIACION AGRICOLA'!CH30</f>
        <v>0.060639139222464666</v>
      </c>
      <c r="CI25" s="141">
        <f>'C6 AVIACION AGRICOLA'!CI37/'C6 AVIACION AGRICOLA'!CI30</f>
        <v>0.06745475409807952</v>
      </c>
      <c r="CJ25" s="141">
        <f>'C6 AVIACION AGRICOLA'!CJ37/'C6 AVIACION AGRICOLA'!CJ30</f>
        <v>0.07243202030845748</v>
      </c>
      <c r="CK25" s="36" t="e">
        <f>'C6 AVIACION AGRICOLA'!CK37/'C6 AVIACION AGRICOLA'!CK30</f>
        <v>#DIV/0!</v>
      </c>
      <c r="CL25" s="36">
        <f>'C6 AVIACION AGRICOLA'!CL37/'C6 AVIACION AGRICOLA'!CL30</f>
        <v>-6.389618257163176E-07</v>
      </c>
      <c r="CM25" s="141">
        <f>'C6 AVIACION AGRICOLA'!CM37/'C6 AVIACION AGRICOLA'!CM30</f>
        <v>0.15315524150485835</v>
      </c>
      <c r="CN25" s="141">
        <f>'C6 AVIACION AGRICOLA'!CN37/'C6 AVIACION AGRICOLA'!CN30</f>
        <v>0.05390361047647806</v>
      </c>
      <c r="CO25" s="36" t="e">
        <f>'C6 AVIACION AGRICOLA'!CO37/'C6 AVIACION AGRICOLA'!CO30</f>
        <v>#DIV/0!</v>
      </c>
      <c r="CP25" s="36" t="e">
        <f>'C6 AVIACION AGRICOLA'!CP37/'C6 AVIACION AGRICOLA'!CP30</f>
        <v>#DIV/0!</v>
      </c>
      <c r="CQ25" s="141" t="e">
        <f>'C6 AVIACION AGRICOLA'!CQ37/'C6 AVIACION AGRICOLA'!CQ30</f>
        <v>#DIV/0!</v>
      </c>
      <c r="CR25" s="36" t="e">
        <f>'C6 AVIACION AGRICOLA'!CR37/'C6 AVIACION AGRICOLA'!CR30</f>
        <v>#DIV/0!</v>
      </c>
      <c r="CS25" s="36" t="e">
        <f>'C6 AVIACION AGRICOLA'!CS37/'C6 AVIACION AGRICOLA'!CS30</f>
        <v>#DIV/0!</v>
      </c>
      <c r="CT25" s="141" t="e">
        <f>'C6 AVIACION AGRICOLA'!CT37/'C6 AVIACION AGRICOLA'!CT30</f>
        <v>#DIV/0!</v>
      </c>
      <c r="CU25" s="141">
        <f>'C6 AVIACION AGRICOLA'!CU37/'C6 AVIACION AGRICOLA'!CU30</f>
        <v>0.011513414245732446</v>
      </c>
      <c r="CV25" s="36">
        <f>'C6 AVIACION AGRICOLA'!CV37/'C6 AVIACION AGRICOLA'!CV30</f>
        <v>0.0631503151747335</v>
      </c>
      <c r="CW25" s="36">
        <f>'C6 AVIACION AGRICOLA'!CW37/'C6 AVIACION AGRICOLA'!CW30</f>
        <v>0.021642685288406495</v>
      </c>
      <c r="CX25" s="141">
        <f>'C6 AVIACION AGRICOLA'!CX37/'C6 AVIACION AGRICOLA'!CX30</f>
        <v>0.061511838492425315</v>
      </c>
      <c r="CY25" s="141">
        <f>'C6 AVIACION AGRICOLA'!CY37/'C6 AVIACION AGRICOLA'!CY30</f>
        <v>0.08767878694712192</v>
      </c>
      <c r="CZ25" s="36" t="e">
        <f>'C6 AVIACION AGRICOLA'!CZ37/'C6 AVIACION AGRICOLA'!CZ30</f>
        <v>#DIV/0!</v>
      </c>
      <c r="DA25" s="36">
        <f>'C6 AVIACION AGRICOLA'!DA37/'C6 AVIACION AGRICOLA'!DA30</f>
        <v>0.11741904804519465</v>
      </c>
      <c r="DB25" s="141">
        <f>'C6 AVIACION AGRICOLA'!DB37/'C6 AVIACION AGRICOLA'!DB30</f>
        <v>0.11489821165189067</v>
      </c>
      <c r="DC25" s="141">
        <f>'C6 AVIACION AGRICOLA'!DC37/'C6 AVIACION AGRICOLA'!DC30</f>
        <v>0.11310854498288314</v>
      </c>
      <c r="DD25" s="36">
        <f>'C6 AVIACION AGRICOLA'!DD37/'C6 AVIACION AGRICOLA'!DD30</f>
        <v>0.06181708294684167</v>
      </c>
      <c r="DE25" s="36">
        <f>'C6 AVIACION AGRICOLA'!DE37/'C6 AVIACION AGRICOLA'!DE30</f>
        <v>0.063315162153374</v>
      </c>
      <c r="DF25" s="141">
        <f>'C6 AVIACION AGRICOLA'!DF37/'C6 AVIACION AGRICOLA'!DF30</f>
        <v>0.04929863738356933</v>
      </c>
      <c r="DG25" s="141">
        <f>'C6 AVIACION AGRICOLA'!DG37/'C6 AVIACION AGRICOLA'!DG30</f>
        <v>5.7789448522297535E-05</v>
      </c>
      <c r="DH25" s="36" t="e">
        <f>'C6 AVIACION AGRICOLA'!DH37/'C6 AVIACION AGRICOLA'!DH30</f>
        <v>#DIV/0!</v>
      </c>
      <c r="DI25" s="36" t="e">
        <f>'C6 AVIACION AGRICOLA'!DI37/'C6 AVIACION AGRICOLA'!DI30</f>
        <v>#DIV/0!</v>
      </c>
      <c r="DJ25" s="141" t="e">
        <f>'C6 AVIACION AGRICOLA'!DJ37/'C6 AVIACION AGRICOLA'!DJ30</f>
        <v>#DIV/0!</v>
      </c>
      <c r="DK25" s="141" t="e">
        <f>'C6 AVIACION AGRICOLA'!DK37/'C6 AVIACION AGRICOLA'!DK30</f>
        <v>#DIV/0!</v>
      </c>
      <c r="DL25" s="36">
        <f>'C6 AVIACION AGRICOLA'!DL37/'C6 AVIACION AGRICOLA'!DL30</f>
        <v>0.050718307343288346</v>
      </c>
      <c r="DM25" s="36" t="e">
        <f>'C6 AVIACION AGRICOLA'!DM37/'C6 AVIACION AGRICOLA'!DM30</f>
        <v>#DIV/0!</v>
      </c>
      <c r="DN25" s="141" t="e">
        <f>'C6 AVIACION AGRICOLA'!DN37/'C6 AVIACION AGRICOLA'!DN30</f>
        <v>#DIV/0!</v>
      </c>
      <c r="DO25" s="141" t="e">
        <f>'C6 AVIACION AGRICOLA'!DO37/'C6 AVIACION AGRICOLA'!DO30</f>
        <v>#DIV/0!</v>
      </c>
      <c r="DP25" s="36" t="e">
        <f>'C6 AVIACION AGRICOLA'!DP37/'C6 AVIACION AGRICOLA'!DP30</f>
        <v>#DIV/0!</v>
      </c>
      <c r="DQ25" s="36">
        <f>'C6 AVIACION AGRICOLA'!DQ37/'C6 AVIACION AGRICOLA'!DQ30</f>
        <v>0.048775047135194066</v>
      </c>
      <c r="DR25" s="141">
        <f>'C6 AVIACION AGRICOLA'!DR37/'C6 AVIACION AGRICOLA'!DR30</f>
        <v>0.020674665275604243</v>
      </c>
      <c r="DS25" s="141">
        <f>'C6 AVIACION AGRICOLA'!DS37/'C6 AVIACION AGRICOLA'!DS30</f>
        <v>0.03858267716535433</v>
      </c>
      <c r="DT25" s="36" t="e">
        <f>'C6 AVIACION AGRICOLA'!DT37/'C6 AVIACION AGRICOLA'!DT30</f>
        <v>#DIV/0!</v>
      </c>
      <c r="DU25" s="36">
        <f>'C6 AVIACION AGRICOLA'!DU37/'C6 AVIACION AGRICOLA'!DU30</f>
        <v>0.003228278875259163</v>
      </c>
      <c r="DV25" s="141">
        <f>'C6 AVIACION AGRICOLA'!DV37/'C6 AVIACION AGRICOLA'!DV30</f>
        <v>0.010315801227707788</v>
      </c>
      <c r="DW25" s="141" t="e">
        <f>'C6 AVIACION AGRICOLA'!DW37/'C6 AVIACION AGRICOLA'!DW30</f>
        <v>#DIV/0!</v>
      </c>
      <c r="DX25" s="36" t="e">
        <f>'C6 AVIACION AGRICOLA'!DX37/'C6 AVIACION AGRICOLA'!DX30</f>
        <v>#DIV/0!</v>
      </c>
      <c r="DY25" s="36">
        <f>'C6 AVIACION AGRICOLA'!DY37/'C6 AVIACION AGRICOLA'!DY30</f>
        <v>0.07542824146523239</v>
      </c>
      <c r="DZ25" s="141">
        <f>'C6 AVIACION AGRICOLA'!DZ37/'C6 AVIACION AGRICOLA'!DZ30</f>
        <v>0.057037807656085786</v>
      </c>
      <c r="EA25" s="141">
        <f>'C6 AVIACION AGRICOLA'!EA37/'C6 AVIACION AGRICOLA'!EA30</f>
        <v>0.03510131680780029</v>
      </c>
      <c r="EB25" s="36" t="e">
        <f>'C6 AVIACION AGRICOLA'!EB37/'C6 AVIACION AGRICOLA'!EB30</f>
        <v>#DIV/0!</v>
      </c>
      <c r="EC25" s="36">
        <f>'C6 AVIACION AGRICOLA'!EC37/'C6 AVIACION AGRICOLA'!EC30</f>
        <v>0.036190643198912846</v>
      </c>
      <c r="ED25" s="141">
        <f>'C6 AVIACION AGRICOLA'!ED37/'C6 AVIACION AGRICOLA'!ED30</f>
        <v>0.05813106771112063</v>
      </c>
      <c r="EE25" s="141">
        <f>'C6 AVIACION AGRICOLA'!EE37/'C6 AVIACION AGRICOLA'!EE30</f>
        <v>0.05046229728991864</v>
      </c>
      <c r="EF25" s="36">
        <f>'C6 AVIACION AGRICOLA'!EF37/'C6 AVIACION AGRICOLA'!EF30</f>
        <v>0.012847025221334272</v>
      </c>
      <c r="EG25" s="36">
        <f>'C6 AVIACION AGRICOLA'!EG37/'C6 AVIACION AGRICOLA'!EG30</f>
        <v>0.017012445475293014</v>
      </c>
      <c r="EH25" s="141">
        <f>'C6 AVIACION AGRICOLA'!EH37/'C6 AVIACION AGRICOLA'!EH30</f>
        <v>0.040447616327206434</v>
      </c>
      <c r="EI25" s="141">
        <f>'C6 AVIACION AGRICOLA'!EI37/'C6 AVIACION AGRICOLA'!EI30</f>
        <v>0.06817647662836998</v>
      </c>
      <c r="EJ25" s="36">
        <f>'C6 AVIACION AGRICOLA'!EJ37/'C6 AVIACION AGRICOLA'!EJ30</f>
        <v>0.0324820198366675</v>
      </c>
      <c r="EK25" s="36">
        <f>'C6 AVIACION AGRICOLA'!EK37/'C6 AVIACION AGRICOLA'!EK30</f>
        <v>0.018357223510925003</v>
      </c>
      <c r="EL25" s="141">
        <f>'C6 AVIACION AGRICOLA'!EL37/'C6 AVIACION AGRICOLA'!EL30</f>
        <v>0.019236413783550347</v>
      </c>
      <c r="EM25" s="141">
        <f>'C6 AVIACION AGRICOLA'!EM37/'C6 AVIACION AGRICOLA'!EM30</f>
        <v>0.039163892420578106</v>
      </c>
      <c r="EN25" s="36">
        <f>'C6 AVIACION AGRICOLA'!EN37/'C6 AVIACION AGRICOLA'!EN30</f>
        <v>-1.5841447224432006</v>
      </c>
      <c r="EO25" s="36" t="e">
        <f>'C6 AVIACION AGRICOLA'!EO37/'C6 AVIACION AGRICOLA'!EO30</f>
        <v>#DIV/0!</v>
      </c>
      <c r="EP25" s="141" t="e">
        <f>'C6 AVIACION AGRICOLA'!EP37/'C6 AVIACION AGRICOLA'!EP30</f>
        <v>#DIV/0!</v>
      </c>
      <c r="EQ25" s="141" t="e">
        <f>'C6 AVIACION AGRICOLA'!EQ37/'C6 AVIACION AGRICOLA'!EQ30</f>
        <v>#DIV/0!</v>
      </c>
      <c r="ER25" s="36" t="e">
        <f>'C6 AVIACION AGRICOLA'!ER37/'C6 AVIACION AGRICOLA'!ER30</f>
        <v>#DIV/0!</v>
      </c>
      <c r="ES25" s="36" t="e">
        <f>'C6 AVIACION AGRICOLA'!ES37/'C6 AVIACION AGRICOLA'!ES30</f>
        <v>#DIV/0!</v>
      </c>
      <c r="ET25" s="141">
        <f>'C6 AVIACION AGRICOLA'!ET37/'C6 AVIACION AGRICOLA'!ET30</f>
        <v>0.018626497711941154</v>
      </c>
      <c r="EU25" s="141">
        <f>'C6 AVIACION AGRICOLA'!EU37/'C6 AVIACION AGRICOLA'!EU30</f>
        <v>0.04149492194692427</v>
      </c>
      <c r="EV25" s="36">
        <f>'C6 AVIACION AGRICOLA'!EV37/'C6 AVIACION AGRICOLA'!EV30</f>
        <v>0.04853427094946905</v>
      </c>
      <c r="EW25" s="36">
        <f>'C6 AVIACION AGRICOLA'!EW37/'C6 AVIACION AGRICOLA'!EW30</f>
        <v>0.05721865452220566</v>
      </c>
      <c r="EX25" s="141">
        <f>'C6 AVIACION AGRICOLA'!EX37/'C6 AVIACION AGRICOLA'!EX30</f>
        <v>0.026662355595562834</v>
      </c>
      <c r="EY25" s="141">
        <f>'C6 AVIACION AGRICOLA'!EY37/'C6 AVIACION AGRICOLA'!EY30</f>
        <v>0.03056454559060909</v>
      </c>
      <c r="EZ25" s="36" t="e">
        <f>'C6 AVIACION AGRICOLA'!EZ37/'C6 AVIACION AGRICOLA'!EZ30</f>
        <v>#DIV/0!</v>
      </c>
      <c r="FA25" s="36">
        <f>'C6 AVIACION AGRICOLA'!FA37/'C6 AVIACION AGRICOLA'!FA30</f>
        <v>0.020484765206432408</v>
      </c>
      <c r="FB25" s="141">
        <f>'C6 AVIACION AGRICOLA'!FB37/'C6 AVIACION AGRICOLA'!FB30</f>
        <v>-0.02599733457882139</v>
      </c>
      <c r="FC25" s="141" t="e">
        <f>'C6 AVIACION AGRICOLA'!FC37/'C6 AVIACION AGRICOLA'!FC30</f>
        <v>#DIV/0!</v>
      </c>
      <c r="FD25" s="36">
        <f>'C6 AVIACION AGRICOLA'!FD37/'C6 AVIACION AGRICOLA'!FD30</f>
        <v>-0.8596340980059501</v>
      </c>
      <c r="FE25" s="36" t="e">
        <f>'C6 AVIACION AGRICOLA'!FE37/'C6 AVIACION AGRICOLA'!FE30</f>
        <v>#DIV/0!</v>
      </c>
      <c r="FF25" s="143" t="e">
        <f>'C6 AVIACION AGRICOLA'!FF37/'C6 AVIACION AGRICOLA'!FF30</f>
        <v>#DIV/0!</v>
      </c>
      <c r="FG25" s="141" t="e">
        <f>'C6 AVIACION AGRICOLA'!FG37/'C6 AVIACION AGRICOLA'!FG30</f>
        <v>#DIV/0!</v>
      </c>
      <c r="FH25" s="36">
        <f>'C6 AVIACION AGRICOLA'!FH37/'C6 AVIACION AGRICOLA'!FH30</f>
        <v>0.057999313985242044</v>
      </c>
      <c r="FI25" s="36" t="e">
        <f>'C6 AVIACION AGRICOLA'!FI37/'C6 AVIACION AGRICOLA'!FI30</f>
        <v>#DIV/0!</v>
      </c>
      <c r="FJ25" s="141" t="e">
        <f>'C6 AVIACION AGRICOLA'!FJ37/'C6 AVIACION AGRICOLA'!FJ30</f>
        <v>#DIV/0!</v>
      </c>
      <c r="FK25" s="141">
        <f>'C6 AVIACION AGRICOLA'!FK37/'C6 AVIACION AGRICOLA'!FK30</f>
        <v>0.11598692090578973</v>
      </c>
      <c r="FL25" s="36" t="e">
        <f>'C6 AVIACION AGRICOLA'!FL37/'C6 AVIACION AGRICOLA'!FL30</f>
        <v>#DIV/0!</v>
      </c>
      <c r="FM25" s="36" t="e">
        <f>'C6 AVIACION AGRICOLA'!FM37/'C6 AVIACION AGRICOLA'!FM30</f>
        <v>#DIV/0!</v>
      </c>
      <c r="FN25" s="141" t="e">
        <f>'C6 AVIACION AGRICOLA'!FN37/'C6 AVIACION AGRICOLA'!FN30</f>
        <v>#DIV/0!</v>
      </c>
      <c r="FO25" s="141">
        <f>'C6 AVIACION AGRICOLA'!FO37/'C6 AVIACION AGRICOLA'!FO30</f>
        <v>0.060727527337490546</v>
      </c>
    </row>
    <row r="26" spans="1:171" ht="12.75">
      <c r="A26" s="39" t="s">
        <v>54</v>
      </c>
      <c r="B26" s="38"/>
      <c r="C26" s="38"/>
      <c r="D26" s="138"/>
      <c r="E26" s="138"/>
      <c r="F26" s="38"/>
      <c r="G26" s="38"/>
      <c r="H26" s="138"/>
      <c r="I26" s="138"/>
      <c r="J26" s="38"/>
      <c r="K26" s="38"/>
      <c r="L26" s="138"/>
      <c r="M26" s="138"/>
      <c r="N26" s="38"/>
      <c r="O26" s="38"/>
      <c r="P26" s="138"/>
      <c r="Q26" s="138"/>
      <c r="R26" s="38"/>
      <c r="S26" s="38"/>
      <c r="T26" s="138"/>
      <c r="U26" s="138"/>
      <c r="V26" s="38"/>
      <c r="W26" s="38"/>
      <c r="X26" s="138"/>
      <c r="Y26" s="138"/>
      <c r="Z26" s="38"/>
      <c r="AA26" s="38"/>
      <c r="AB26" s="138"/>
      <c r="AC26" s="38"/>
      <c r="AD26" s="38"/>
      <c r="AE26" s="138"/>
      <c r="AF26" s="138"/>
      <c r="AG26" s="38"/>
      <c r="AH26" s="38"/>
      <c r="AI26" s="138"/>
      <c r="AJ26" s="138"/>
      <c r="AK26" s="38"/>
      <c r="AL26" s="38"/>
      <c r="AM26" s="138"/>
      <c r="AN26" s="138"/>
      <c r="AO26" s="38"/>
      <c r="AP26" s="38"/>
      <c r="AQ26" s="138"/>
      <c r="AR26" s="138"/>
      <c r="AS26" s="38"/>
      <c r="AT26" s="38"/>
      <c r="AU26" s="138"/>
      <c r="AV26" s="138"/>
      <c r="AW26" s="38"/>
      <c r="AX26" s="38"/>
      <c r="AY26" s="138"/>
      <c r="AZ26" s="138"/>
      <c r="BA26" s="38"/>
      <c r="BB26" s="38"/>
      <c r="BC26" s="138"/>
      <c r="BD26" s="138"/>
      <c r="BE26" s="38"/>
      <c r="BF26" s="38"/>
      <c r="BG26" s="138"/>
      <c r="BH26" s="138"/>
      <c r="BI26" s="38"/>
      <c r="BJ26" s="38"/>
      <c r="BK26" s="138"/>
      <c r="BL26" s="138"/>
      <c r="BM26" s="38"/>
      <c r="BN26" s="38"/>
      <c r="BO26" s="138"/>
      <c r="BP26" s="138"/>
      <c r="BQ26" s="38"/>
      <c r="BR26" s="38"/>
      <c r="BS26" s="138"/>
      <c r="BT26" s="138"/>
      <c r="BU26" s="38"/>
      <c r="BV26" s="38"/>
      <c r="BW26" s="138"/>
      <c r="BX26" s="138"/>
      <c r="BY26" s="38"/>
      <c r="BZ26" s="38"/>
      <c r="CA26" s="138"/>
      <c r="CB26" s="138"/>
      <c r="CC26" s="38"/>
      <c r="CD26" s="38"/>
      <c r="CE26" s="138"/>
      <c r="CF26" s="138"/>
      <c r="CG26" s="38"/>
      <c r="CH26" s="38"/>
      <c r="CI26" s="138"/>
      <c r="CJ26" s="138"/>
      <c r="CK26" s="38"/>
      <c r="CL26" s="38"/>
      <c r="CM26" s="138"/>
      <c r="CN26" s="138"/>
      <c r="CO26" s="38"/>
      <c r="CP26" s="38"/>
      <c r="CQ26" s="138"/>
      <c r="CR26" s="38"/>
      <c r="CS26" s="38"/>
      <c r="CT26" s="138"/>
      <c r="CU26" s="138"/>
      <c r="CV26" s="38"/>
      <c r="CW26" s="38"/>
      <c r="CX26" s="138"/>
      <c r="CY26" s="138"/>
      <c r="CZ26" s="38"/>
      <c r="DA26" s="38"/>
      <c r="DB26" s="138"/>
      <c r="DC26" s="138"/>
      <c r="DD26" s="38"/>
      <c r="DE26" s="38"/>
      <c r="DF26" s="138"/>
      <c r="DG26" s="138"/>
      <c r="DH26" s="38"/>
      <c r="DI26" s="38"/>
      <c r="DJ26" s="138"/>
      <c r="DK26" s="138"/>
      <c r="DL26" s="38"/>
      <c r="DM26" s="38"/>
      <c r="DN26" s="138"/>
      <c r="DO26" s="138"/>
      <c r="DP26" s="38"/>
      <c r="DQ26" s="38"/>
      <c r="DR26" s="138"/>
      <c r="DS26" s="138"/>
      <c r="DT26" s="38"/>
      <c r="DU26" s="38"/>
      <c r="DV26" s="138"/>
      <c r="DW26" s="138"/>
      <c r="DX26" s="38"/>
      <c r="DY26" s="38"/>
      <c r="DZ26" s="138"/>
      <c r="EA26" s="138"/>
      <c r="EB26" s="38"/>
      <c r="EC26" s="38"/>
      <c r="ED26" s="138"/>
      <c r="EE26" s="138"/>
      <c r="EF26" s="38"/>
      <c r="EG26" s="38"/>
      <c r="EH26" s="138"/>
      <c r="EI26" s="138"/>
      <c r="EJ26" s="38"/>
      <c r="EK26" s="38"/>
      <c r="EL26" s="138"/>
      <c r="EM26" s="138"/>
      <c r="EN26" s="38"/>
      <c r="EO26" s="38"/>
      <c r="EP26" s="138"/>
      <c r="EQ26" s="138"/>
      <c r="ER26" s="38"/>
      <c r="ES26" s="38"/>
      <c r="ET26" s="138"/>
      <c r="EU26" s="138"/>
      <c r="EV26" s="38"/>
      <c r="EW26" s="38"/>
      <c r="EX26" s="138"/>
      <c r="EY26" s="138"/>
      <c r="EZ26" s="38"/>
      <c r="FA26" s="38"/>
      <c r="FB26" s="138"/>
      <c r="FC26" s="138"/>
      <c r="FD26" s="38"/>
      <c r="FE26" s="38"/>
      <c r="FF26" s="145"/>
      <c r="FG26" s="138"/>
      <c r="FH26" s="38"/>
      <c r="FI26" s="38"/>
      <c r="FJ26" s="138"/>
      <c r="FK26" s="138"/>
      <c r="FL26" s="38"/>
      <c r="FM26" s="38"/>
      <c r="FN26" s="138"/>
      <c r="FO26" s="138"/>
    </row>
    <row r="27" spans="1:171" ht="13.5" thickBot="1">
      <c r="A27" s="43" t="s">
        <v>55</v>
      </c>
      <c r="B27" s="44">
        <f>'C6 AVIACION AGRICOLA'!B10-'C6 AVIACION AGRICOLA'!B15</f>
        <v>11634722.422999999</v>
      </c>
      <c r="C27" s="44">
        <f>'C6 AVIACION AGRICOLA'!C10-'C6 AVIACION AGRICOLA'!C15</f>
        <v>6638166.199999999</v>
      </c>
      <c r="D27" s="139">
        <f>'C6 AVIACION AGRICOLA'!D10-'C6 AVIACION AGRICOLA'!D15</f>
        <v>5174160.597000007</v>
      </c>
      <c r="E27" s="139">
        <f>'C6 AVIACION AGRICOLA'!E10-'C6 AVIACION AGRICOLA'!E15</f>
        <v>10660598.08</v>
      </c>
      <c r="F27" s="44">
        <f>'C6 AVIACION AGRICOLA'!F10-'C6 AVIACION AGRICOLA'!F15</f>
        <v>200048.223</v>
      </c>
      <c r="G27" s="44">
        <f>'C6 AVIACION AGRICOLA'!G10-'C6 AVIACION AGRICOLA'!G15</f>
        <v>622226.85</v>
      </c>
      <c r="H27" s="139">
        <f>'C6 AVIACION AGRICOLA'!H10-'C6 AVIACION AGRICOLA'!H15</f>
        <v>526188.54</v>
      </c>
      <c r="I27" s="139">
        <f>'C6 AVIACION AGRICOLA'!I10-'C6 AVIACION AGRICOLA'!I15</f>
        <v>419342</v>
      </c>
      <c r="J27" s="44">
        <f>'C6 AVIACION AGRICOLA'!J10-'C6 AVIACION AGRICOLA'!J15</f>
        <v>0</v>
      </c>
      <c r="K27" s="44">
        <f>'C6 AVIACION AGRICOLA'!K10-'C6 AVIACION AGRICOLA'!K15</f>
        <v>-97418.005</v>
      </c>
      <c r="L27" s="139">
        <f>'C6 AVIACION AGRICOLA'!L10-'C6 AVIACION AGRICOLA'!L15</f>
        <v>-199402.29500000004</v>
      </c>
      <c r="M27" s="139">
        <f>'C6 AVIACION AGRICOLA'!M10-'C6 AVIACION AGRICOLA'!M15</f>
        <v>0</v>
      </c>
      <c r="N27" s="44">
        <f>'C6 AVIACION AGRICOLA'!N10-'C6 AVIACION AGRICOLA'!N15</f>
        <v>0</v>
      </c>
      <c r="O27" s="44">
        <f>'C6 AVIACION AGRICOLA'!O10-'C6 AVIACION AGRICOLA'!O15</f>
        <v>-46820.57799999998</v>
      </c>
      <c r="P27" s="139">
        <f>'C6 AVIACION AGRICOLA'!P10-'C6 AVIACION AGRICOLA'!P15</f>
        <v>-13127.051000000007</v>
      </c>
      <c r="Q27" s="139">
        <f>'C6 AVIACION AGRICOLA'!Q10-'C6 AVIACION AGRICOLA'!Q15</f>
        <v>-55077</v>
      </c>
      <c r="R27" s="44">
        <f>'C6 AVIACION AGRICOLA'!R10-'C6 AVIACION AGRICOLA'!R15</f>
        <v>135982</v>
      </c>
      <c r="S27" s="44">
        <f>'C6 AVIACION AGRICOLA'!S10-'C6 AVIACION AGRICOLA'!S15</f>
        <v>151686</v>
      </c>
      <c r="T27" s="139">
        <f>'C6 AVIACION AGRICOLA'!T10-'C6 AVIACION AGRICOLA'!T15</f>
        <v>162314</v>
      </c>
      <c r="U27" s="139">
        <f>'C6 AVIACION AGRICOLA'!U10-'C6 AVIACION AGRICOLA'!U15</f>
        <v>178408</v>
      </c>
      <c r="V27" s="44">
        <f>'C6 AVIACION AGRICOLA'!V10-'C6 AVIACION AGRICOLA'!V15</f>
        <v>0</v>
      </c>
      <c r="W27" s="44">
        <f>'C6 AVIACION AGRICOLA'!W10-'C6 AVIACION AGRICOLA'!W15</f>
        <v>459697.25100000016</v>
      </c>
      <c r="X27" s="139">
        <f>'C6 AVIACION AGRICOLA'!X10-'C6 AVIACION AGRICOLA'!X15</f>
        <v>581958.9449999998</v>
      </c>
      <c r="Y27" s="139">
        <f>'C6 AVIACION AGRICOLA'!Y10-'C6 AVIACION AGRICOLA'!Y15</f>
        <v>462107</v>
      </c>
      <c r="Z27" s="44">
        <f>'C6 AVIACION AGRICOLA'!Z10-'C6 AVIACION AGRICOLA'!Z15</f>
        <v>-1032780.999</v>
      </c>
      <c r="AA27" s="44">
        <f>'C6 AVIACION AGRICOLA'!AA10-'C6 AVIACION AGRICOLA'!AA15</f>
        <v>0</v>
      </c>
      <c r="AB27" s="139">
        <f>'C6 AVIACION AGRICOLA'!AB10-'C6 AVIACION AGRICOLA'!AB15</f>
        <v>-322281</v>
      </c>
      <c r="AC27" s="44">
        <f>'C6 AVIACION AGRICOLA'!AC10-'C6 AVIACION AGRICOLA'!AC15</f>
        <v>0</v>
      </c>
      <c r="AD27" s="44">
        <f>'C6 AVIACION AGRICOLA'!AD10-'C6 AVIACION AGRICOLA'!AD15</f>
        <v>0</v>
      </c>
      <c r="AE27" s="139">
        <f>'C6 AVIACION AGRICOLA'!AE10-'C6 AVIACION AGRICOLA'!AE15</f>
        <v>0</v>
      </c>
      <c r="AF27" s="139">
        <f>'C6 AVIACION AGRICOLA'!AF10-'C6 AVIACION AGRICOLA'!AF15</f>
        <v>644308</v>
      </c>
      <c r="AG27" s="44">
        <f>'C6 AVIACION AGRICOLA'!AG10-'C6 AVIACION AGRICOLA'!AG15</f>
        <v>876635.35414</v>
      </c>
      <c r="AH27" s="44">
        <f>'C6 AVIACION AGRICOLA'!AH10-'C6 AVIACION AGRICOLA'!AH15</f>
        <v>420644.1420000002</v>
      </c>
      <c r="AI27" s="139">
        <f>'C6 AVIACION AGRICOLA'!AI10-'C6 AVIACION AGRICOLA'!AI15</f>
        <v>433546.98</v>
      </c>
      <c r="AJ27" s="139">
        <f>'C6 AVIACION AGRICOLA'!AJ10-'C6 AVIACION AGRICOLA'!AJ15</f>
        <v>424282</v>
      </c>
      <c r="AK27" s="44">
        <f>'C6 AVIACION AGRICOLA'!AK10-'C6 AVIACION AGRICOLA'!AK15</f>
        <v>0</v>
      </c>
      <c r="AL27" s="44">
        <f>'C6 AVIACION AGRICOLA'!AL10-'C6 AVIACION AGRICOLA'!AL15</f>
        <v>0</v>
      </c>
      <c r="AM27" s="139">
        <f>'C6 AVIACION AGRICOLA'!AM10-'C6 AVIACION AGRICOLA'!AM15</f>
        <v>0</v>
      </c>
      <c r="AN27" s="139">
        <f>'C6 AVIACION AGRICOLA'!AN10-'C6 AVIACION AGRICOLA'!AN15</f>
        <v>0</v>
      </c>
      <c r="AO27" s="44">
        <f>'C6 AVIACION AGRICOLA'!AO10-'C6 AVIACION AGRICOLA'!AO15</f>
        <v>0</v>
      </c>
      <c r="AP27" s="44">
        <f>'C6 AVIACION AGRICOLA'!AP10-'C6 AVIACION AGRICOLA'!AP15</f>
        <v>0</v>
      </c>
      <c r="AQ27" s="139">
        <f>'C6 AVIACION AGRICOLA'!AQ10-'C6 AVIACION AGRICOLA'!AQ15</f>
        <v>-20610</v>
      </c>
      <c r="AR27" s="139">
        <f>'C6 AVIACION AGRICOLA'!AR10-'C6 AVIACION AGRICOLA'!AR15</f>
        <v>4342</v>
      </c>
      <c r="AS27" s="44">
        <f>'C6 AVIACION AGRICOLA'!AS10-'C6 AVIACION AGRICOLA'!AS15</f>
        <v>239850</v>
      </c>
      <c r="AT27" s="44">
        <f>'C6 AVIACION AGRICOLA'!AT10-'C6 AVIACION AGRICOLA'!AT15</f>
        <v>300418</v>
      </c>
      <c r="AU27" s="139">
        <f>'C6 AVIACION AGRICOLA'!AU10-'C6 AVIACION AGRICOLA'!AU15</f>
        <v>-175480</v>
      </c>
      <c r="AV27" s="139">
        <f>'C6 AVIACION AGRICOLA'!AV10-'C6 AVIACION AGRICOLA'!AV15</f>
        <v>-2236155</v>
      </c>
      <c r="AW27" s="44">
        <f>'C6 AVIACION AGRICOLA'!AW10-'C6 AVIACION AGRICOLA'!AW15</f>
        <v>0</v>
      </c>
      <c r="AX27" s="44">
        <f>'C6 AVIACION AGRICOLA'!AX10-'C6 AVIACION AGRICOLA'!AX15</f>
        <v>32355</v>
      </c>
      <c r="AY27" s="139">
        <f>'C6 AVIACION AGRICOLA'!AY10-'C6 AVIACION AGRICOLA'!AY15</f>
        <v>5850</v>
      </c>
      <c r="AZ27" s="139">
        <f>'C6 AVIACION AGRICOLA'!AZ10-'C6 AVIACION AGRICOLA'!AZ15</f>
        <v>45007</v>
      </c>
      <c r="BA27" s="44">
        <f>'C6 AVIACION AGRICOLA'!BA10-'C6 AVIACION AGRICOLA'!BA15</f>
        <v>13246166</v>
      </c>
      <c r="BB27" s="44">
        <f>'C6 AVIACION AGRICOLA'!BB10-'C6 AVIACION AGRICOLA'!BB15</f>
        <v>1729837</v>
      </c>
      <c r="BC27" s="139">
        <f>'C6 AVIACION AGRICOLA'!BC10-'C6 AVIACION AGRICOLA'!BC15</f>
        <v>2508100</v>
      </c>
      <c r="BD27" s="139">
        <f>'C6 AVIACION AGRICOLA'!BD10-'C6 AVIACION AGRICOLA'!BD15</f>
        <v>4346512</v>
      </c>
      <c r="BE27" s="44">
        <f>'C6 AVIACION AGRICOLA'!BE10-'C6 AVIACION AGRICOLA'!BE15</f>
        <v>0</v>
      </c>
      <c r="BF27" s="44">
        <f>'C6 AVIACION AGRICOLA'!BF10-'C6 AVIACION AGRICOLA'!BF15</f>
        <v>256782.428</v>
      </c>
      <c r="BG27" s="139">
        <f>'C6 AVIACION AGRICOLA'!BG10-'C6 AVIACION AGRICOLA'!BG15</f>
        <v>23897.497000000003</v>
      </c>
      <c r="BH27" s="139">
        <f>'C6 AVIACION AGRICOLA'!BH10-'C6 AVIACION AGRICOLA'!BH15</f>
        <v>79354</v>
      </c>
      <c r="BI27" s="44">
        <f>'C6 AVIACION AGRICOLA'!BI10-'C6 AVIACION AGRICOLA'!BI15</f>
        <v>0</v>
      </c>
      <c r="BJ27" s="44">
        <f>'C6 AVIACION AGRICOLA'!BJ10-'C6 AVIACION AGRICOLA'!BJ15</f>
        <v>0</v>
      </c>
      <c r="BK27" s="139">
        <f>'C6 AVIACION AGRICOLA'!BK10-'C6 AVIACION AGRICOLA'!BK15</f>
        <v>214094.113</v>
      </c>
      <c r="BL27" s="139">
        <f>'C6 AVIACION AGRICOLA'!BL10-'C6 AVIACION AGRICOLA'!BL15</f>
        <v>204072</v>
      </c>
      <c r="BM27" s="44">
        <f>'C6 AVIACION AGRICOLA'!BM10-'C6 AVIACION AGRICOLA'!BM15</f>
        <v>-4628476</v>
      </c>
      <c r="BN27" s="44">
        <f>'C6 AVIACION AGRICOLA'!BN10-'C6 AVIACION AGRICOLA'!BN15</f>
        <v>-447704</v>
      </c>
      <c r="BO27" s="139">
        <f>'C6 AVIACION AGRICOLA'!BO10-'C6 AVIACION AGRICOLA'!BO15</f>
        <v>-1568955</v>
      </c>
      <c r="BP27" s="139">
        <f>'C6 AVIACION AGRICOLA'!BP10-'C6 AVIACION AGRICOLA'!BP15</f>
        <v>-574277</v>
      </c>
      <c r="BQ27" s="44">
        <f>'C6 AVIACION AGRICOLA'!BQ10-'C6 AVIACION AGRICOLA'!BQ15</f>
        <v>0</v>
      </c>
      <c r="BR27" s="44">
        <f>'C6 AVIACION AGRICOLA'!BR10-'C6 AVIACION AGRICOLA'!BR15</f>
        <v>0</v>
      </c>
      <c r="BS27" s="139">
        <f>'C6 AVIACION AGRICOLA'!BS10-'C6 AVIACION AGRICOLA'!BS15</f>
        <v>-457145</v>
      </c>
      <c r="BT27" s="139">
        <f>'C6 AVIACION AGRICOLA'!BT10-'C6 AVIACION AGRICOLA'!BT15</f>
        <v>-226449</v>
      </c>
      <c r="BU27" s="44">
        <f>'C6 AVIACION AGRICOLA'!BU10-'C6 AVIACION AGRICOLA'!BU15</f>
        <v>44632.4823</v>
      </c>
      <c r="BV27" s="44">
        <f>'C6 AVIACION AGRICOLA'!BV10-'C6 AVIACION AGRICOLA'!BV15</f>
        <v>129368.73199999999</v>
      </c>
      <c r="BW27" s="139">
        <f>'C6 AVIACION AGRICOLA'!BW10-'C6 AVIACION AGRICOLA'!BW15</f>
        <v>170767.764</v>
      </c>
      <c r="BX27" s="139">
        <f>'C6 AVIACION AGRICOLA'!BX10-'C6 AVIACION AGRICOLA'!BX15</f>
        <v>176810</v>
      </c>
      <c r="BY27" s="44">
        <f>'C6 AVIACION AGRICOLA'!BY10-'C6 AVIACION AGRICOLA'!BY15</f>
        <v>58384.45399999998</v>
      </c>
      <c r="BZ27" s="44">
        <f>'C6 AVIACION AGRICOLA'!BZ10-'C6 AVIACION AGRICOLA'!BZ15</f>
        <v>73229.89099999999</v>
      </c>
      <c r="CA27" s="139">
        <f>'C6 AVIACION AGRICOLA'!CA10-'C6 AVIACION AGRICOLA'!CA15</f>
        <v>86688</v>
      </c>
      <c r="CB27" s="139">
        <f>'C6 AVIACION AGRICOLA'!CB10-'C6 AVIACION AGRICOLA'!CB15</f>
        <v>107442</v>
      </c>
      <c r="CC27" s="44">
        <f>'C6 AVIACION AGRICOLA'!CC10-'C6 AVIACION AGRICOLA'!CC15</f>
        <v>0</v>
      </c>
      <c r="CD27" s="44">
        <f>'C6 AVIACION AGRICOLA'!CD10-'C6 AVIACION AGRICOLA'!CD15</f>
        <v>0</v>
      </c>
      <c r="CE27" s="139">
        <f>'C6 AVIACION AGRICOLA'!CE10-'C6 AVIACION AGRICOLA'!CE15</f>
        <v>185776</v>
      </c>
      <c r="CF27" s="139">
        <f>'C6 AVIACION AGRICOLA'!CF10-'C6 AVIACION AGRICOLA'!CF15</f>
        <v>0</v>
      </c>
      <c r="CG27" s="44">
        <f>'C6 AVIACION AGRICOLA'!CG10-'C6 AVIACION AGRICOLA'!CG15</f>
        <v>1094248.153</v>
      </c>
      <c r="CH27" s="44">
        <f>'C6 AVIACION AGRICOLA'!CH10-'C6 AVIACION AGRICOLA'!CH15</f>
        <v>580987.662</v>
      </c>
      <c r="CI27" s="139">
        <f>'C6 AVIACION AGRICOLA'!CI10-'C6 AVIACION AGRICOLA'!CI15</f>
        <v>498399.509</v>
      </c>
      <c r="CJ27" s="139">
        <f>'C6 AVIACION AGRICOLA'!CJ10-'C6 AVIACION AGRICOLA'!CJ15</f>
        <v>643142</v>
      </c>
      <c r="CK27" s="44">
        <f>'C6 AVIACION AGRICOLA'!CK10-'C6 AVIACION AGRICOLA'!CK15</f>
        <v>0</v>
      </c>
      <c r="CL27" s="44">
        <f>'C6 AVIACION AGRICOLA'!CL10-'C6 AVIACION AGRICOLA'!CL15</f>
        <v>2732.4649999999965</v>
      </c>
      <c r="CM27" s="139">
        <f>'C6 AVIACION AGRICOLA'!CM10-'C6 AVIACION AGRICOLA'!CM15</f>
        <v>-68096.508</v>
      </c>
      <c r="CN27" s="139">
        <f>'C6 AVIACION AGRICOLA'!CN10-'C6 AVIACION AGRICOLA'!CN15</f>
        <v>-66789</v>
      </c>
      <c r="CO27" s="44">
        <f>'C6 AVIACION AGRICOLA'!CO10-'C6 AVIACION AGRICOLA'!CO15</f>
        <v>0</v>
      </c>
      <c r="CP27" s="44">
        <f>'C6 AVIACION AGRICOLA'!CP10-'C6 AVIACION AGRICOLA'!CP15</f>
        <v>301146.858</v>
      </c>
      <c r="CQ27" s="139">
        <f>'C6 AVIACION AGRICOLA'!CQ10-'C6 AVIACION AGRICOLA'!CQ15</f>
        <v>0</v>
      </c>
      <c r="CR27" s="44">
        <f>'C6 AVIACION AGRICOLA'!CR10-'C6 AVIACION AGRICOLA'!CR15</f>
        <v>0</v>
      </c>
      <c r="CS27" s="44">
        <f>'C6 AVIACION AGRICOLA'!CS10-'C6 AVIACION AGRICOLA'!CS15</f>
        <v>0</v>
      </c>
      <c r="CT27" s="139">
        <f>'C6 AVIACION AGRICOLA'!CT10-'C6 AVIACION AGRICOLA'!CT15</f>
        <v>0</v>
      </c>
      <c r="CU27" s="139">
        <f>'C6 AVIACION AGRICOLA'!CU10-'C6 AVIACION AGRICOLA'!CU15</f>
        <v>111484</v>
      </c>
      <c r="CV27" s="44">
        <f>'C6 AVIACION AGRICOLA'!CV10-'C6 AVIACION AGRICOLA'!CV15</f>
        <v>120729.45899999997</v>
      </c>
      <c r="CW27" s="44">
        <f>'C6 AVIACION AGRICOLA'!CW10-'C6 AVIACION AGRICOLA'!CW15</f>
        <v>102585.674</v>
      </c>
      <c r="CX27" s="139">
        <f>'C6 AVIACION AGRICOLA'!CX10-'C6 AVIACION AGRICOLA'!CX15</f>
        <v>120194.01100000003</v>
      </c>
      <c r="CY27" s="139">
        <f>'C6 AVIACION AGRICOLA'!CY10-'C6 AVIACION AGRICOLA'!CY15</f>
        <v>287787</v>
      </c>
      <c r="CZ27" s="44">
        <f>'C6 AVIACION AGRICOLA'!CZ10-'C6 AVIACION AGRICOLA'!CZ15</f>
        <v>0</v>
      </c>
      <c r="DA27" s="44">
        <f>'C6 AVIACION AGRICOLA'!DA10-'C6 AVIACION AGRICOLA'!DA15</f>
        <v>495302</v>
      </c>
      <c r="DB27" s="139">
        <f>'C6 AVIACION AGRICOLA'!DB10-'C6 AVIACION AGRICOLA'!DB15</f>
        <v>642892</v>
      </c>
      <c r="DC27" s="139">
        <f>'C6 AVIACION AGRICOLA'!DC10-'C6 AVIACION AGRICOLA'!DC15</f>
        <v>752104</v>
      </c>
      <c r="DD27" s="44">
        <f>'C6 AVIACION AGRICOLA'!DD10-'C6 AVIACION AGRICOLA'!DD15</f>
        <v>730096.24178</v>
      </c>
      <c r="DE27" s="44">
        <f>'C6 AVIACION AGRICOLA'!DE10-'C6 AVIACION AGRICOLA'!DE15</f>
        <v>790930.59</v>
      </c>
      <c r="DF27" s="139">
        <f>'C6 AVIACION AGRICOLA'!DF10-'C6 AVIACION AGRICOLA'!DF15</f>
        <v>504928.73299999995</v>
      </c>
      <c r="DG27" s="139">
        <f>'C6 AVIACION AGRICOLA'!DG10-'C6 AVIACION AGRICOLA'!DG15</f>
        <v>496057</v>
      </c>
      <c r="DH27" s="44">
        <f>'C6 AVIACION AGRICOLA'!DH10-'C6 AVIACION AGRICOLA'!DH15</f>
        <v>0</v>
      </c>
      <c r="DI27" s="44">
        <f>'C6 AVIACION AGRICOLA'!DI10-'C6 AVIACION AGRICOLA'!DI15</f>
        <v>0</v>
      </c>
      <c r="DJ27" s="139">
        <f>'C6 AVIACION AGRICOLA'!DJ10-'C6 AVIACION AGRICOLA'!DJ15</f>
        <v>0</v>
      </c>
      <c r="DK27" s="139">
        <f>'C6 AVIACION AGRICOLA'!DK10-'C6 AVIACION AGRICOLA'!DK15</f>
        <v>0</v>
      </c>
      <c r="DL27" s="44">
        <f>'C6 AVIACION AGRICOLA'!DL10-'C6 AVIACION AGRICOLA'!DL15</f>
        <v>65010.31384999999</v>
      </c>
      <c r="DM27" s="44">
        <f>'C6 AVIACION AGRICOLA'!DM10-'C6 AVIACION AGRICOLA'!DM15</f>
        <v>0</v>
      </c>
      <c r="DN27" s="139">
        <f>'C6 AVIACION AGRICOLA'!DN10-'C6 AVIACION AGRICOLA'!DN15</f>
        <v>0</v>
      </c>
      <c r="DO27" s="139">
        <f>'C6 AVIACION AGRICOLA'!DO10-'C6 AVIACION AGRICOLA'!DO15</f>
        <v>0</v>
      </c>
      <c r="DP27" s="44">
        <f>'C6 AVIACION AGRICOLA'!DP10-'C6 AVIACION AGRICOLA'!DP15</f>
        <v>0</v>
      </c>
      <c r="DQ27" s="44">
        <f>'C6 AVIACION AGRICOLA'!DQ10-'C6 AVIACION AGRICOLA'!DQ15</f>
        <v>10240</v>
      </c>
      <c r="DR27" s="139">
        <f>'C6 AVIACION AGRICOLA'!DR10-'C6 AVIACION AGRICOLA'!DR15</f>
        <v>12327.983999999997</v>
      </c>
      <c r="DS27" s="139">
        <f>'C6 AVIACION AGRICOLA'!DS10-'C6 AVIACION AGRICOLA'!DS15</f>
        <v>37924</v>
      </c>
      <c r="DT27" s="44">
        <f>'C6 AVIACION AGRICOLA'!DT10-'C6 AVIACION AGRICOLA'!DT15</f>
        <v>0</v>
      </c>
      <c r="DU27" s="44">
        <f>'C6 AVIACION AGRICOLA'!DU10-'C6 AVIACION AGRICOLA'!DU15</f>
        <v>-34613</v>
      </c>
      <c r="DV27" s="139">
        <f>'C6 AVIACION AGRICOLA'!DV10-'C6 AVIACION AGRICOLA'!DV15</f>
        <v>9274.01999999999</v>
      </c>
      <c r="DW27" s="139">
        <f>'C6 AVIACION AGRICOLA'!DW10-'C6 AVIACION AGRICOLA'!DW15</f>
        <v>0</v>
      </c>
      <c r="DX27" s="44">
        <f>'C6 AVIACION AGRICOLA'!DX10-'C6 AVIACION AGRICOLA'!DX15</f>
        <v>0</v>
      </c>
      <c r="DY27" s="44">
        <f>'C6 AVIACION AGRICOLA'!DY10-'C6 AVIACION AGRICOLA'!DY15</f>
        <v>130534.69300000001</v>
      </c>
      <c r="DZ27" s="139">
        <f>'C6 AVIACION AGRICOLA'!DZ10-'C6 AVIACION AGRICOLA'!DZ15</f>
        <v>51781.546</v>
      </c>
      <c r="EA27" s="139">
        <f>'C6 AVIACION AGRICOLA'!EA10-'C6 AVIACION AGRICOLA'!EA15</f>
        <v>96214</v>
      </c>
      <c r="EB27" s="44">
        <f>'C6 AVIACION AGRICOLA'!EB10-'C6 AVIACION AGRICOLA'!EB15</f>
        <v>0</v>
      </c>
      <c r="EC27" s="44">
        <f>'C6 AVIACION AGRICOLA'!EC10-'C6 AVIACION AGRICOLA'!EC15</f>
        <v>-19064.15100000007</v>
      </c>
      <c r="ED27" s="139">
        <f>'C6 AVIACION AGRICOLA'!ED10-'C6 AVIACION AGRICOLA'!ED15</f>
        <v>86839.37800000003</v>
      </c>
      <c r="EE27" s="139">
        <f>'C6 AVIACION AGRICOLA'!EE10-'C6 AVIACION AGRICOLA'!EE15</f>
        <v>438902</v>
      </c>
      <c r="EF27" s="44">
        <f>'C6 AVIACION AGRICOLA'!EF10-'C6 AVIACION AGRICOLA'!EF15</f>
        <v>378445.63599999994</v>
      </c>
      <c r="EG27" s="44">
        <f>'C6 AVIACION AGRICOLA'!EG10-'C6 AVIACION AGRICOLA'!EG15</f>
        <v>416169.586</v>
      </c>
      <c r="EH27" s="139">
        <f>'C6 AVIACION AGRICOLA'!EH10-'C6 AVIACION AGRICOLA'!EH15</f>
        <v>501642.35600000015</v>
      </c>
      <c r="EI27" s="139">
        <f>'C6 AVIACION AGRICOLA'!EI10-'C6 AVIACION AGRICOLA'!EI15</f>
        <v>440922</v>
      </c>
      <c r="EJ27" s="44">
        <f>'C6 AVIACION AGRICOLA'!EJ10-'C6 AVIACION AGRICOLA'!EJ15</f>
        <v>51793.686</v>
      </c>
      <c r="EK27" s="44">
        <f>'C6 AVIACION AGRICOLA'!EK10-'C6 AVIACION AGRICOLA'!EK15</f>
        <v>134801.517</v>
      </c>
      <c r="EL27" s="139">
        <f>'C6 AVIACION AGRICOLA'!EL10-'C6 AVIACION AGRICOLA'!EL15</f>
        <v>43137.064000000006</v>
      </c>
      <c r="EM27" s="139">
        <f>'C6 AVIACION AGRICOLA'!EM10-'C6 AVIACION AGRICOLA'!EM15</f>
        <v>80365</v>
      </c>
      <c r="EN27" s="44">
        <f>'C6 AVIACION AGRICOLA'!EN10-'C6 AVIACION AGRICOLA'!EN15</f>
        <v>73939.80792999998</v>
      </c>
      <c r="EO27" s="44">
        <f>'C6 AVIACION AGRICOLA'!EO10-'C6 AVIACION AGRICOLA'!EO15</f>
        <v>59325.401</v>
      </c>
      <c r="EP27" s="139">
        <f>'C6 AVIACION AGRICOLA'!EP10-'C6 AVIACION AGRICOLA'!EP15</f>
        <v>58474.787999999986</v>
      </c>
      <c r="EQ27" s="139">
        <f>'C6 AVIACION AGRICOLA'!EQ10-'C6 AVIACION AGRICOLA'!EQ15</f>
        <v>0</v>
      </c>
      <c r="ER27" s="44">
        <f>'C6 AVIACION AGRICOLA'!ER10-'C6 AVIACION AGRICOLA'!ER15</f>
        <v>0</v>
      </c>
      <c r="ES27" s="44">
        <f>'C6 AVIACION AGRICOLA'!ES10-'C6 AVIACION AGRICOLA'!ES15</f>
        <v>0</v>
      </c>
      <c r="ET27" s="139">
        <f>'C6 AVIACION AGRICOLA'!ET10-'C6 AVIACION AGRICOLA'!ET15</f>
        <v>107942.94100000002</v>
      </c>
      <c r="EU27" s="139">
        <f>'C6 AVIACION AGRICOLA'!EU10-'C6 AVIACION AGRICOLA'!EU15</f>
        <v>41091</v>
      </c>
      <c r="EV27" s="44">
        <f>'C6 AVIACION AGRICOLA'!EV10-'C6 AVIACION AGRICOLA'!EV15</f>
        <v>237644.61099999998</v>
      </c>
      <c r="EW27" s="44">
        <f>'C6 AVIACION AGRICOLA'!EW10-'C6 AVIACION AGRICOLA'!EW15</f>
        <v>159748.02799999996</v>
      </c>
      <c r="EX27" s="139">
        <f>'C6 AVIACION AGRICOLA'!EX10-'C6 AVIACION AGRICOLA'!EX15</f>
        <v>156927</v>
      </c>
      <c r="EY27" s="139">
        <f>'C6 AVIACION AGRICOLA'!EY10-'C6 AVIACION AGRICOLA'!EY15</f>
        <v>272105</v>
      </c>
      <c r="EZ27" s="44">
        <f>'C6 AVIACION AGRICOLA'!EZ10-'C6 AVIACION AGRICOLA'!EZ15</f>
        <v>0</v>
      </c>
      <c r="FA27" s="44">
        <f>'C6 AVIACION AGRICOLA'!FA10-'C6 AVIACION AGRICOLA'!FA15</f>
        <v>223454.16600000003</v>
      </c>
      <c r="FB27" s="139">
        <f>'C6 AVIACION AGRICOLA'!FB10-'C6 AVIACION AGRICOLA'!FB15</f>
        <v>114987.28199999998</v>
      </c>
      <c r="FC27" s="139">
        <f>'C6 AVIACION AGRICOLA'!FC10-'C6 AVIACION AGRICOLA'!FC15</f>
        <v>0</v>
      </c>
      <c r="FD27" s="44">
        <f>'C6 AVIACION AGRICOLA'!FD10-'C6 AVIACION AGRICOLA'!FD15</f>
        <v>-17777</v>
      </c>
      <c r="FE27" s="44">
        <f>'C6 AVIACION AGRICOLA'!FE10-'C6 AVIACION AGRICOLA'!FE15</f>
        <v>0</v>
      </c>
      <c r="FF27" s="146">
        <f>'C6 AVIACION AGRICOLA'!FF10-'C6 AVIACION AGRICOLA'!FF15</f>
        <v>14847</v>
      </c>
      <c r="FG27" s="251">
        <f>'C6 AVIACION AGRICOLA'!FG10-'C6 AVIACION AGRICOLA'!FG15</f>
        <v>0</v>
      </c>
      <c r="FH27" s="252">
        <f>'C6 AVIACION AGRICOLA'!FH10-'C6 AVIACION AGRICOLA'!FH15</f>
        <v>-774076.12</v>
      </c>
      <c r="FI27" s="44">
        <f>'C6 AVIACION AGRICOLA'!FI10-'C6 AVIACION AGRICOLA'!FI15</f>
        <v>0</v>
      </c>
      <c r="FJ27" s="139">
        <f>'C6 AVIACION AGRICOLA'!FJ10-'C6 AVIACION AGRICOLA'!FJ15</f>
        <v>0</v>
      </c>
      <c r="FK27" s="139">
        <f>'C6 AVIACION AGRICOLA'!FK10-'C6 AVIACION AGRICOLA'!FK15</f>
        <v>-405465</v>
      </c>
      <c r="FL27" s="44">
        <f>'C6 AVIACION AGRICOLA'!FL10-'C6 AVIACION AGRICOLA'!FL15</f>
        <v>0</v>
      </c>
      <c r="FM27" s="44">
        <f>'C6 AVIACION AGRICOLA'!FM10-'C6 AVIACION AGRICOLA'!FM15</f>
        <v>0</v>
      </c>
      <c r="FN27" s="139">
        <f>'C6 AVIACION AGRICOLA'!FN10-'C6 AVIACION AGRICOLA'!FN15</f>
        <v>0</v>
      </c>
      <c r="FO27" s="139">
        <f>'C6 AVIACION AGRICOLA'!FO10-'C6 AVIACION AGRICOLA'!FO15</f>
        <v>-81517</v>
      </c>
    </row>
    <row r="28" ht="12.75">
      <c r="A28" s="34" t="s">
        <v>121</v>
      </c>
    </row>
  </sheetData>
  <sheetProtection/>
  <mergeCells count="42">
    <mergeCell ref="A6:A7"/>
    <mergeCell ref="AS6:AV6"/>
    <mergeCell ref="AW6:AZ6"/>
    <mergeCell ref="BA6:BD6"/>
    <mergeCell ref="BE6:BH6"/>
    <mergeCell ref="BI6:BL6"/>
    <mergeCell ref="B6:E6"/>
    <mergeCell ref="F6:I6"/>
    <mergeCell ref="J6:M6"/>
    <mergeCell ref="N6:Q6"/>
    <mergeCell ref="R6:U6"/>
    <mergeCell ref="V6:Y6"/>
    <mergeCell ref="Z6:AF6"/>
    <mergeCell ref="AG6:AJ6"/>
    <mergeCell ref="AK6:AN6"/>
    <mergeCell ref="AO6:AR6"/>
    <mergeCell ref="EF6:EI6"/>
    <mergeCell ref="DT6:DW6"/>
    <mergeCell ref="DX6:EA6"/>
    <mergeCell ref="EB6:EE6"/>
    <mergeCell ref="CK6:CN6"/>
    <mergeCell ref="CO6:CU6"/>
    <mergeCell ref="CV6:CY6"/>
    <mergeCell ref="CZ6:DC6"/>
    <mergeCell ref="DD6:DG6"/>
    <mergeCell ref="DH6:DK6"/>
    <mergeCell ref="BM6:BP6"/>
    <mergeCell ref="BQ6:BT6"/>
    <mergeCell ref="BU6:BX6"/>
    <mergeCell ref="BY6:CB6"/>
    <mergeCell ref="CC6:CF6"/>
    <mergeCell ref="CG6:CJ6"/>
    <mergeCell ref="DL6:DO6"/>
    <mergeCell ref="DP6:DS6"/>
    <mergeCell ref="FH6:FK6"/>
    <mergeCell ref="FL6:FO6"/>
    <mergeCell ref="EJ6:EM6"/>
    <mergeCell ref="EN6:EQ6"/>
    <mergeCell ref="ER6:EU6"/>
    <mergeCell ref="EV6:EY6"/>
    <mergeCell ref="EZ6:FC6"/>
    <mergeCell ref="FD6:FG6"/>
  </mergeCell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Trab Aer Esp y Fumiga 2008 - 2011</dc:title>
  <dc:subject/>
  <dc:creator>PC Familiar</dc:creator>
  <cp:keywords/>
  <dc:description/>
  <cp:lastModifiedBy>41680593</cp:lastModifiedBy>
  <cp:lastPrinted>2010-07-28T17:53:12Z</cp:lastPrinted>
  <dcterms:created xsi:type="dcterms:W3CDTF">2000-07-06T11:08:14Z</dcterms:created>
  <dcterms:modified xsi:type="dcterms:W3CDTF">2012-07-03T19:10:44Z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AEVVZYF6TF2M-623-179</vt:lpwstr>
  </property>
  <property fmtid="{D5CDD505-2E9C-101B-9397-08002B2CF9AE}" pid="4" name="_dlc_DocIdItemGu">
    <vt:lpwstr>1c1a8109-c9d6-45ff-9435-b5a8073206f9</vt:lpwstr>
  </property>
  <property fmtid="{D5CDD505-2E9C-101B-9397-08002B2CF9AE}" pid="5" name="_dlc_DocIdU">
    <vt:lpwstr>http://www.aerocivil.gov.co/AAeronautica/Estadisticas/TAereo/_layouts/DocIdRedir.aspx?ID=AEVVZYF6TF2M-623-179, AEVVZYF6TF2M-623-179</vt:lpwstr>
  </property>
  <property fmtid="{D5CDD505-2E9C-101B-9397-08002B2CF9AE}" pid="6" name="Cla">
    <vt:lpwstr/>
  </property>
  <property fmtid="{D5CDD505-2E9C-101B-9397-08002B2CF9AE}" pid="7" name="Secci">
    <vt:lpwstr>Estadísticas Operacionales</vt:lpwstr>
  </property>
  <property fmtid="{D5CDD505-2E9C-101B-9397-08002B2CF9AE}" pid="8" name="Ord">
    <vt:lpwstr>01</vt:lpwstr>
  </property>
  <property fmtid="{D5CDD505-2E9C-101B-9397-08002B2CF9AE}" pid="9" name="Forma">
    <vt:lpwstr>/Style%20Library/Images/xls.svg</vt:lpwstr>
  </property>
  <property fmtid="{D5CDD505-2E9C-101B-9397-08002B2CF9AE}" pid="10" name="Filt">
    <vt:lpwstr>INFORMES 2011</vt:lpwstr>
  </property>
</Properties>
</file>